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1"/>
  <workbookPr showInkAnnotation="0" autoCompressPictures="0"/>
  <mc:AlternateContent xmlns:mc="http://schemas.openxmlformats.org/markup-compatibility/2006">
    <mc:Choice Requires="x15">
      <x15ac:absPath xmlns:x15ac="http://schemas.microsoft.com/office/spreadsheetml/2010/11/ac" url="/Users/flavia-oanapetrisor/Desktop/"/>
    </mc:Choice>
  </mc:AlternateContent>
  <xr:revisionPtr revIDLastSave="0" documentId="13_ncr:1_{4BF12D00-64AD-B240-AAF3-B745E51B59FB}" xr6:coauthVersionLast="47" xr6:coauthVersionMax="47" xr10:uidLastSave="{00000000-0000-0000-0000-000000000000}"/>
  <bookViews>
    <workbookView xWindow="21620" yWindow="460" windowWidth="29580" windowHeight="26680" tabRatio="500" xr2:uid="{00000000-000D-0000-FFFF-FFFF00000000}"/>
  </bookViews>
  <sheets>
    <sheet name="Index" sheetId="1" r:id="rId1"/>
    <sheet name="Tab.01" sheetId="3" r:id="rId2"/>
    <sheet name="Tab.02" sheetId="4" r:id="rId3"/>
    <sheet name="Tab.03" sheetId="5" r:id="rId4"/>
    <sheet name="Tab.04" sheetId="6" r:id="rId5"/>
    <sheet name="Tab.05" sheetId="7" r:id="rId6"/>
    <sheet name="Tab.06" sheetId="8" r:id="rId7"/>
    <sheet name="Tab.07" sheetId="9" r:id="rId8"/>
    <sheet name="Tab.08" sheetId="10" r:id="rId9"/>
    <sheet name="Tab.09" sheetId="11" r:id="rId10"/>
    <sheet name="Tab.10" sheetId="12" r:id="rId11"/>
    <sheet name="Tab.11" sheetId="13" r:id="rId12"/>
    <sheet name="Tab.12" sheetId="14" r:id="rId13"/>
    <sheet name="Tab.13" sheetId="15" r:id="rId14"/>
    <sheet name="Tab.14" sheetId="16" r:id="rId15"/>
    <sheet name="Tab.15" sheetId="17" r:id="rId16"/>
    <sheet name="Tab.16" sheetId="18" r:id="rId17"/>
    <sheet name="Tab.17" sheetId="19" r:id="rId18"/>
    <sheet name="Tab.18" sheetId="20" r:id="rId19"/>
    <sheet name="Tab.19" sheetId="21" r:id="rId20"/>
    <sheet name="Tab.20" sheetId="22" r:id="rId21"/>
    <sheet name="Tab.21" sheetId="23" r:id="rId22"/>
    <sheet name="Tab.22" sheetId="24" r:id="rId23"/>
    <sheet name="Tab.23" sheetId="25" r:id="rId24"/>
    <sheet name="Tab.24" sheetId="26" r:id="rId25"/>
    <sheet name="Tab.25" sheetId="27" r:id="rId26"/>
    <sheet name="Tab.26" sheetId="28" r:id="rId27"/>
    <sheet name="Tab.27" sheetId="29" r:id="rId28"/>
    <sheet name="Tab.28" sheetId="30" r:id="rId29"/>
    <sheet name="Tab.29" sheetId="31" r:id="rId30"/>
    <sheet name="Tab.30" sheetId="32" r:id="rId31"/>
    <sheet name="Tab.31" sheetId="33" r:id="rId32"/>
    <sheet name="Tab.32" sheetId="34" r:id="rId33"/>
    <sheet name="Tab.33" sheetId="35" r:id="rId34"/>
    <sheet name="Tab.34" sheetId="36" r:id="rId35"/>
    <sheet name="Tab.35" sheetId="37" r:id="rId36"/>
    <sheet name="Tab.36" sheetId="38" r:id="rId37"/>
    <sheet name="Tab.37" sheetId="39" r:id="rId38"/>
    <sheet name="Tab.38" sheetId="40" r:id="rId39"/>
    <sheet name="Tab.39" sheetId="41" r:id="rId40"/>
    <sheet name="Tab.40" sheetId="42" r:id="rId41"/>
    <sheet name="Tab.41" sheetId="43" r:id="rId42"/>
    <sheet name="Tab.42" sheetId="44" r:id="rId43"/>
    <sheet name="Tab.43" sheetId="45" r:id="rId44"/>
    <sheet name="Tab.44" sheetId="46" r:id="rId45"/>
    <sheet name="Tab.45" sheetId="47" r:id="rId46"/>
    <sheet name="Tab.46" sheetId="48" r:id="rId47"/>
    <sheet name="Tab.47" sheetId="49" r:id="rId48"/>
    <sheet name="Tab.48" sheetId="50" r:id="rId49"/>
    <sheet name="Tab.49" sheetId="51" r:id="rId50"/>
    <sheet name="Tab.50" sheetId="52" r:id="rId51"/>
    <sheet name="Tab.51" sheetId="53" r:id="rId52"/>
    <sheet name="Tab.52" sheetId="54" r:id="rId53"/>
    <sheet name="Tab.53" sheetId="55" r:id="rId54"/>
    <sheet name="Tab.54" sheetId="56" r:id="rId55"/>
    <sheet name="Tab.55" sheetId="57" r:id="rId56"/>
    <sheet name="Tab.56" sheetId="58" r:id="rId57"/>
    <sheet name="Tab.57" sheetId="59" r:id="rId58"/>
    <sheet name="Tab.58" sheetId="60" r:id="rId59"/>
    <sheet name="Tab.59" sheetId="61" r:id="rId60"/>
    <sheet name="Tab.60" sheetId="62" r:id="rId61"/>
    <sheet name="Tab.61" sheetId="63" r:id="rId62"/>
    <sheet name="Tab.62" sheetId="64" r:id="rId63"/>
    <sheet name="Tab.63" sheetId="65" r:id="rId64"/>
    <sheet name="Tab.64" sheetId="66" r:id="rId65"/>
    <sheet name="Tab.65" sheetId="67" r:id="rId66"/>
    <sheet name="Tab.66" sheetId="68" r:id="rId67"/>
    <sheet name="Tab.67" sheetId="69" r:id="rId68"/>
    <sheet name="Tab.68" sheetId="70" r:id="rId69"/>
    <sheet name="Tab.69" sheetId="71" r:id="rId70"/>
    <sheet name="Tab.70" sheetId="72" r:id="rId71"/>
    <sheet name="Tab.71" sheetId="73" r:id="rId72"/>
    <sheet name="Tab.72" sheetId="74" r:id="rId73"/>
    <sheet name="Tab.73" sheetId="75" r:id="rId74"/>
    <sheet name="Tab.74" sheetId="76" r:id="rId75"/>
    <sheet name="Tab.75" sheetId="77" r:id="rId7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4" i="1" l="1"/>
  <c r="A58" i="1"/>
  <c r="A53" i="1"/>
  <c r="A50" i="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5" i="1"/>
  <c r="A46" i="1"/>
  <c r="A47" i="1"/>
  <c r="A48" i="1"/>
  <c r="A49" i="1"/>
  <c r="A51" i="1"/>
  <c r="A52" i="1"/>
  <c r="A54" i="1"/>
  <c r="A55" i="1"/>
  <c r="A56" i="1"/>
  <c r="A57" i="1"/>
  <c r="A59" i="1"/>
  <c r="A60" i="1"/>
  <c r="A61" i="1"/>
  <c r="A62" i="1"/>
  <c r="A63" i="1"/>
  <c r="A64" i="1"/>
  <c r="A65" i="1"/>
  <c r="A66" i="1"/>
  <c r="A67" i="1"/>
  <c r="A68" i="1"/>
  <c r="A69" i="1"/>
  <c r="A70" i="1"/>
  <c r="A71" i="1"/>
  <c r="A72" i="1"/>
  <c r="A73" i="1"/>
  <c r="A74" i="1"/>
  <c r="A75" i="1"/>
  <c r="A76" i="1"/>
  <c r="A77" i="1"/>
  <c r="A1" i="3"/>
  <c r="A1" i="4"/>
  <c r="A1" i="5"/>
  <c r="A1" i="6"/>
  <c r="A1" i="7"/>
  <c r="A1" i="8"/>
  <c r="A1" i="9"/>
  <c r="A1" i="10"/>
  <c r="A1" i="11"/>
  <c r="A1" i="12"/>
  <c r="A1" i="13"/>
  <c r="A1" i="14"/>
  <c r="A1" i="15"/>
  <c r="A1" i="16"/>
  <c r="A1" i="17"/>
  <c r="A1" i="18"/>
  <c r="A1" i="19"/>
  <c r="A1" i="20"/>
  <c r="A1" i="21"/>
  <c r="A1" i="22"/>
  <c r="A1" i="23"/>
  <c r="A1" i="25"/>
  <c r="A1" i="26"/>
  <c r="A1" i="27"/>
  <c r="A1" i="28"/>
  <c r="A1" i="29"/>
  <c r="A1" i="30"/>
  <c r="A1" i="31"/>
  <c r="A1" i="32"/>
  <c r="A1" i="33"/>
  <c r="A1" i="34"/>
  <c r="A1" i="35"/>
  <c r="A1" i="36"/>
  <c r="A1" i="37"/>
  <c r="A1" i="38"/>
  <c r="A1" i="39"/>
  <c r="A1" i="40"/>
  <c r="A1" i="41"/>
  <c r="A1" i="42"/>
  <c r="A1" i="43"/>
  <c r="A1" i="44"/>
  <c r="A1" i="45"/>
  <c r="A1" i="46"/>
  <c r="A1" i="47"/>
  <c r="A1" i="48"/>
  <c r="A1" i="49"/>
  <c r="A1" i="50"/>
  <c r="A1" i="51"/>
  <c r="A1" i="52"/>
  <c r="A1" i="53"/>
  <c r="A1" i="54"/>
  <c r="A1" i="55"/>
  <c r="A1" i="56"/>
  <c r="A1" i="57"/>
  <c r="A1" i="58"/>
  <c r="A1" i="59"/>
  <c r="A1" i="60"/>
  <c r="A1" i="61"/>
  <c r="A1" i="62"/>
  <c r="A1" i="63"/>
  <c r="A1" i="64"/>
  <c r="A1" i="65"/>
  <c r="A1" i="66"/>
  <c r="A1" i="67"/>
  <c r="A1" i="68"/>
  <c r="A1" i="69"/>
  <c r="A1" i="70"/>
  <c r="A1" i="71"/>
  <c r="A1" i="72"/>
  <c r="A1" i="73"/>
  <c r="A1" i="74"/>
  <c r="A1" i="75"/>
  <c r="A1" i="76"/>
  <c r="A1" i="77"/>
</calcChain>
</file>

<file path=xl/sharedStrings.xml><?xml version="1.0" encoding="utf-8"?>
<sst xmlns="http://schemas.openxmlformats.org/spreadsheetml/2006/main" count="2461" uniqueCount="1199">
  <si>
    <t>Index</t>
  </si>
  <si>
    <t>Individual disclosure of meeting participation</t>
  </si>
  <si>
    <t>Skills profile for the Supervisory Board as a whole</t>
  </si>
  <si>
    <t>Skills profile implementation status</t>
  </si>
  <si>
    <t>2024/25 annual bonus — achievement of individual performance targets</t>
  </si>
  <si>
    <t>2024/25 annual bonus — overall target achievement and payout</t>
  </si>
  <si>
    <t>2024/25 performance share plan — allocation</t>
  </si>
  <si>
    <t>2021/22 deferred stock</t>
  </si>
  <si>
    <t>2021/22 performance cash plan — operating ROCE target achievement</t>
  </si>
  <si>
    <t>2021/22 performance cash plan — payout</t>
  </si>
  <si>
    <t>Compensation granted and owed to former Executive Board members in accordance with Section 162 of the German Stock Corporation Act (AktG) in fiscal year 2024/25</t>
  </si>
  <si>
    <t>Comparative presentation</t>
  </si>
  <si>
    <t>Informationen zur Aktie</t>
  </si>
  <si>
    <t>Analyst coverage 2024/25</t>
  </si>
  <si>
    <t>Sites and employees</t>
  </si>
  <si>
    <t>Reconciliation of the consolidated income statement</t>
  </si>
  <si>
    <t>Breakdown of borrowings</t>
  </si>
  <si>
    <t>IFRS structure of the statement of financial position of the Group</t>
  </si>
  <si>
    <t>Reconciliation to the consolidated statement of financial position</t>
  </si>
  <si>
    <t>Operating return on capital employed (ROCE)</t>
  </si>
  <si>
    <t>Financial position of the Aurubis Group</t>
  </si>
  <si>
    <t>Net financial position of the Group</t>
  </si>
  <si>
    <t>Sales volumes of other metals</t>
  </si>
  <si>
    <t>Income statement</t>
  </si>
  <si>
    <t>Balance sheet structure of Aurubis AG</t>
  </si>
  <si>
    <t xml:space="preserve">Potential effect on earnings </t>
  </si>
  <si>
    <t xml:space="preserve">Air pollutant emissions </t>
  </si>
  <si>
    <t>Recycled content of products (%)</t>
  </si>
  <si>
    <t>Number of employees by gender</t>
  </si>
  <si>
    <t>Gender distribution at top management level</t>
  </si>
  <si>
    <t>Employee age structure</t>
  </si>
  <si>
    <t>Training metrics</t>
  </si>
  <si>
    <t>Health and safety metrics</t>
  </si>
  <si>
    <t xml:space="preserve">Reporting template turnover </t>
  </si>
  <si>
    <t>Share of turnover/total turnover</t>
  </si>
  <si>
    <t>Reporting template OpEx</t>
  </si>
  <si>
    <t>Share of OpEx/total OpEx</t>
  </si>
  <si>
    <t>Reporting template CapEx</t>
  </si>
  <si>
    <t>Taxonomy-aligned turnover counter</t>
  </si>
  <si>
    <t>Taxonomy-aligned OpEx counter</t>
  </si>
  <si>
    <t>Taxonomy-aligned CapEx counter</t>
  </si>
  <si>
    <t xml:space="preserve">Taxonomy-eligible activities at Aurubis | Allocation to environmental objective — Climate change mitigation </t>
  </si>
  <si>
    <t>Activities related to nuclear energy and fossil gas</t>
  </si>
  <si>
    <t>Consolidated Income Statement 
for the period from October 1 to September 30 (IFRS)</t>
  </si>
  <si>
    <t>Consolidated Statement of Comprehensive Income
for the period from October 1 to September 30 (IFRS)</t>
  </si>
  <si>
    <t>Consolidated Cash Flow Statement
for the period from October 1 to September 30 (IFRS)</t>
  </si>
  <si>
    <t>Consolidated Statement of Changes in Equity</t>
  </si>
  <si>
    <t>Financial calendar</t>
  </si>
  <si>
    <t>5-Year Overview Aurubis Group (IFRS)</t>
  </si>
  <si>
    <t>Aurubis AG Annual Report 2024/25</t>
  </si>
  <si>
    <t>2024/25</t>
  </si>
  <si>
    <t>Number of meetings attended</t>
  </si>
  <si>
    <t>Percentage of meetings attended</t>
  </si>
  <si>
    <r>
      <rPr>
        <b/>
        <sz val="12"/>
        <color rgb="FF1D1D1D"/>
        <rFont val="Arial"/>
        <family val="2"/>
      </rPr>
      <t>Supervisory Board members</t>
    </r>
  </si>
  <si>
    <r>
      <rPr>
        <sz val="12"/>
        <color rgb="FF000000"/>
        <rFont val="Arial"/>
        <family val="2"/>
      </rPr>
      <t xml:space="preserve">4 scheduled meetings and 1 extraordinary meeting as well 
</t>
    </r>
    <r>
      <rPr>
        <sz val="12"/>
        <color rgb="FF000000"/>
        <rFont val="Arial"/>
        <family val="2"/>
      </rPr>
      <t>as 1 Annual General Meeting</t>
    </r>
  </si>
  <si>
    <t>Prof. Dr. Fritz Vahrenholt (Chairman)</t>
  </si>
  <si>
    <t>6/6</t>
  </si>
  <si>
    <t>100 %</t>
  </si>
  <si>
    <t>Jan Koltze (Deputy Chairman)</t>
  </si>
  <si>
    <r>
      <rPr>
        <sz val="12"/>
        <color rgb="FF1D1D1D"/>
        <rFont val="Arial"/>
        <family val="2"/>
      </rPr>
      <t>5/6</t>
    </r>
    <r>
      <rPr>
        <vertAlign val="superscript"/>
        <sz val="12"/>
        <color rgb="FF1D1D1D"/>
        <rFont val="Arial"/>
        <family val="2"/>
      </rPr>
      <t>1</t>
    </r>
  </si>
  <si>
    <t>83 %</t>
  </si>
  <si>
    <t>Deniz Filiz Acar</t>
  </si>
  <si>
    <t>Kathrin Dahnke</t>
  </si>
  <si>
    <t>Christian Ehrentraut</t>
  </si>
  <si>
    <t>Gunnar Groebler</t>
  </si>
  <si>
    <t>5/6</t>
  </si>
  <si>
    <t>Prof. Dr. Markus Kramer</t>
  </si>
  <si>
    <t>Dr. Stephan Krümmer</t>
  </si>
  <si>
    <t>Dr. Elke Lossin</t>
  </si>
  <si>
    <t>Daniel Mrosek</t>
  </si>
  <si>
    <t>Dr. Sandra Reich</t>
  </si>
  <si>
    <t>Stefan Schmidt</t>
  </si>
  <si>
    <r>
      <rPr>
        <b/>
        <sz val="12"/>
        <color rgb="FF1D1D1D"/>
        <rFont val="Arial"/>
        <family val="2"/>
      </rPr>
      <t> </t>
    </r>
    <r>
      <rPr>
        <b/>
        <sz val="12"/>
        <color rgb="FF1D1D1D"/>
        <rFont val="Arial"/>
        <family val="2"/>
      </rPr>
      <t>Personnel/Compensation Committee</t>
    </r>
  </si>
  <si>
    <t>3 meetings</t>
  </si>
  <si>
    <t>Prof. Dr. Markus Kramer (Chairman)</t>
  </si>
  <si>
    <t>3/3</t>
  </si>
  <si>
    <t>2/3</t>
  </si>
  <si>
    <t>66 %</t>
  </si>
  <si>
    <t>Jan Koltze</t>
  </si>
  <si>
    <r>
      <rPr>
        <sz val="12"/>
        <color rgb="FF1D1D1D"/>
        <rFont val="Arial"/>
        <family val="2"/>
      </rPr>
      <t>2/3</t>
    </r>
    <r>
      <rPr>
        <vertAlign val="superscript"/>
        <sz val="12"/>
        <color rgb="FF1D1D1D"/>
        <rFont val="Arial"/>
        <family val="2"/>
      </rPr>
      <t>1</t>
    </r>
  </si>
  <si>
    <t>Prof. Dr. Fritz Vahrenholt</t>
  </si>
  <si>
    <r>
      <rPr>
        <b/>
        <sz val="12"/>
        <color rgb="FF1D1D1D"/>
        <rFont val="Arial"/>
        <family val="2"/>
      </rPr>
      <t> </t>
    </r>
    <r>
      <rPr>
        <b/>
        <sz val="12"/>
        <color rgb="FF1D1D1D"/>
        <rFont val="Arial"/>
        <family val="2"/>
      </rPr>
      <t xml:space="preserve">Audit Committee </t>
    </r>
  </si>
  <si>
    <t>5 meetings</t>
  </si>
  <si>
    <t>Dr. Stephan Krümmer (Chairman)</t>
  </si>
  <si>
    <t>5/5</t>
  </si>
  <si>
    <r>
      <rPr>
        <sz val="12"/>
        <color rgb="FF1D1D1D"/>
        <rFont val="Arial"/>
        <family val="2"/>
      </rPr>
      <t>3/5</t>
    </r>
    <r>
      <rPr>
        <vertAlign val="superscript"/>
        <sz val="12"/>
        <color rgb="FF1D1D1D"/>
        <rFont val="Arial"/>
        <family val="2"/>
      </rPr>
      <t>1</t>
    </r>
  </si>
  <si>
    <t>60 %</t>
  </si>
  <si>
    <r>
      <rPr>
        <b/>
        <sz val="12"/>
        <color rgb="FF1D1D1D"/>
        <rFont val="Arial"/>
        <family val="2"/>
      </rPr>
      <t xml:space="preserve">Innovation/Investment Committee (formerly the Technology Committee) </t>
    </r>
  </si>
  <si>
    <t>4 meetings</t>
  </si>
  <si>
    <r>
      <rPr>
        <sz val="12"/>
        <color rgb="FF1D1D1D"/>
        <rFont val="Arial"/>
        <family val="2"/>
      </rPr>
      <t>4/4</t>
    </r>
  </si>
  <si>
    <t>Nomination Committee</t>
  </si>
  <si>
    <t>Did not meet during the fiscal year</t>
  </si>
  <si>
    <t>Conciliation Committee</t>
  </si>
  <si>
    <r>
      <rPr>
        <vertAlign val="superscript"/>
        <sz val="10"/>
        <color rgb="FF1D1D1D"/>
        <rFont val="Arial"/>
        <family val="2"/>
      </rPr>
      <t>1</t>
    </r>
    <r>
      <rPr>
        <sz val="10"/>
        <color rgb="FF1D1D1D"/>
        <rFont val="Arial"/>
        <family val="2"/>
      </rPr>
      <t xml:space="preserve"> Mr. Koltze was unable to participate in the meetings due to illness.</t>
    </r>
  </si>
  <si>
    <t>Skill area</t>
  </si>
  <si>
    <t>Skill description</t>
  </si>
  <si>
    <t>Management &amp; HR</t>
  </si>
  <si>
    <t>Experience in and knowledge of the management of industrial companies in the context of structural changes in the sector as well as other change processes and efficiency programs</t>
  </si>
  <si>
    <t>Experience in and knowledge of international personnel management, including the recruitment and development of managers</t>
  </si>
  <si>
    <t>Technology</t>
  </si>
  <si>
    <r>
      <rPr>
        <sz val="12"/>
        <color rgb="FF000000"/>
        <rFont val="Arial"/>
        <family val="2"/>
      </rPr>
      <t>Understanding of metallurgy and the supply chain for resource and energy-intensive industrial companies</t>
    </r>
  </si>
  <si>
    <t>Digitalization</t>
  </si>
  <si>
    <t>Experience in the digitalization of industrial processes and companies</t>
  </si>
  <si>
    <t>International experience</t>
  </si>
  <si>
    <t>Personal experience in managing companies in international key markets outside Germany</t>
  </si>
  <si>
    <r>
      <rPr>
        <sz val="12"/>
        <color rgb="FF000000"/>
        <rFont val="Arial"/>
        <family val="2"/>
      </rPr>
      <t>Solid understanding of the customer, investor or regulatory landscape at prominent international locations</t>
    </r>
  </si>
  <si>
    <t xml:space="preserve">Risk management </t>
  </si>
  <si>
    <t>Experience in handling operating, market-specific, geopolitical, financial, legal and compliance risks by means of internal control systems</t>
  </si>
  <si>
    <t>Finance</t>
  </si>
  <si>
    <t>In-depth knowledge and experience in the application of international accounting principles and internal control procedures</t>
  </si>
  <si>
    <t>Good knowledge of company financing and capital markets</t>
  </si>
  <si>
    <t>Auditing</t>
  </si>
  <si>
    <t>Specialist knowledge and personal experience in the field of accounting and auditing, including sustainability reporting</t>
  </si>
  <si>
    <t>Environmental, social and corporate governance (ESG)</t>
  </si>
  <si>
    <t>Proficiency in ESG factors and their significance for Aurubis, particularly as an energy-intensive company</t>
  </si>
  <si>
    <t>Experience in sustainability, sustainable technologies, and corporate responsibility</t>
  </si>
  <si>
    <t>Knowledge of statutory regulations as well as corporate governance and compliance standards for a quoted company (German Corporate Governance Code, Market Abuse Regulation, etc.)</t>
  </si>
  <si>
    <t>Strategy</t>
  </si>
  <si>
    <t>Experience in strategy development and implementation processes</t>
  </si>
  <si>
    <t>Experience with M&amp;A processes</t>
  </si>
  <si>
    <r>
      <rPr>
        <sz val="8"/>
        <color rgb="FF1D1D1D"/>
        <rFont val="Arial"/>
        <family val="2"/>
      </rPr>
      <t xml:space="preserve"> </t>
    </r>
  </si>
  <si>
    <t>Prof. Dr. Fritz  Vahrenholt</t>
  </si>
  <si>
    <r>
      <rPr>
        <sz val="12"/>
        <color rgb="FF000000"/>
        <rFont val="Arial"/>
        <family val="2"/>
      </rPr>
      <t xml:space="preserve">Jan </t>
    </r>
    <r>
      <rPr>
        <sz val="12"/>
        <color rgb="FF000000"/>
        <rFont val="Arial"/>
        <family val="2"/>
      </rPr>
      <t> </t>
    </r>
    <r>
      <rPr>
        <sz val="12"/>
        <color rgb="FF000000"/>
        <rFont val="Arial"/>
        <family val="2"/>
      </rPr>
      <t>Koltze</t>
    </r>
    <r>
      <rPr>
        <vertAlign val="superscript"/>
        <sz val="12"/>
        <color rgb="FF000000"/>
        <rFont val="Arial"/>
        <family val="2"/>
      </rPr>
      <t>1</t>
    </r>
  </si>
  <si>
    <r>
      <rPr>
        <sz val="12"/>
        <color rgb="FF000000"/>
        <rFont val="Arial"/>
        <family val="2"/>
      </rPr>
      <t xml:space="preserve">Deniz Filiz </t>
    </r>
    <r>
      <rPr>
        <sz val="12"/>
        <color rgb="FF000000"/>
        <rFont val="Arial"/>
        <family val="2"/>
      </rPr>
      <t> </t>
    </r>
    <r>
      <rPr>
        <sz val="12"/>
        <color rgb="FF000000"/>
        <rFont val="Arial"/>
        <family val="2"/>
      </rPr>
      <t>Acar</t>
    </r>
    <r>
      <rPr>
        <vertAlign val="superscript"/>
        <sz val="12"/>
        <color rgb="FF000000"/>
        <rFont val="Arial"/>
        <family val="2"/>
      </rPr>
      <t>1</t>
    </r>
  </si>
  <si>
    <t>Kathrin  Dahnke</t>
  </si>
  <si>
    <r>
      <rPr>
        <sz val="12"/>
        <color rgb="FF000000"/>
        <rFont val="Arial"/>
        <family val="2"/>
      </rPr>
      <t>Christian Ehrentraut</t>
    </r>
    <r>
      <rPr>
        <vertAlign val="superscript"/>
        <sz val="12"/>
        <color rgb="FF000000"/>
        <rFont val="Arial"/>
        <family val="2"/>
      </rPr>
      <t>1</t>
    </r>
  </si>
  <si>
    <r>
      <rPr>
        <sz val="12"/>
        <color rgb="FF000000"/>
        <rFont val="Arial"/>
        <family val="2"/>
      </rPr>
      <t xml:space="preserve">Gunnar </t>
    </r>
    <r>
      <rPr>
        <sz val="12"/>
        <color rgb="FF000000"/>
        <rFont val="Arial"/>
        <family val="2"/>
      </rPr>
      <t> </t>
    </r>
    <r>
      <rPr>
        <sz val="12"/>
        <color rgb="FF000000"/>
        <rFont val="Arial"/>
        <family val="2"/>
      </rPr>
      <t>Groebler</t>
    </r>
    <r>
      <rPr>
        <vertAlign val="superscript"/>
        <sz val="12"/>
        <color rgb="FF000000"/>
        <rFont val="Arial"/>
        <family val="2"/>
      </rPr>
      <t>2</t>
    </r>
  </si>
  <si>
    <t>Prof. Dr. Markus  Kramer</t>
  </si>
  <si>
    <r>
      <rPr>
        <sz val="12"/>
        <color rgb="FF000000"/>
        <rFont val="Arial"/>
        <family val="2"/>
      </rPr>
      <t xml:space="preserve">Dr. Elke </t>
    </r>
    <r>
      <rPr>
        <sz val="12"/>
        <color rgb="FF000000"/>
        <rFont val="Arial"/>
        <family val="2"/>
      </rPr>
      <t> </t>
    </r>
    <r>
      <rPr>
        <sz val="12"/>
        <color rgb="FF000000"/>
        <rFont val="Arial"/>
        <family val="2"/>
      </rPr>
      <t>Lossin</t>
    </r>
    <r>
      <rPr>
        <vertAlign val="superscript"/>
        <sz val="12"/>
        <color rgb="FF000000"/>
        <rFont val="Arial"/>
        <family val="2"/>
      </rPr>
      <t>1</t>
    </r>
  </si>
  <si>
    <r>
      <rPr>
        <sz val="12"/>
        <color rgb="FF000000"/>
        <rFont val="Arial"/>
        <family val="2"/>
      </rPr>
      <t xml:space="preserve">Daniel </t>
    </r>
    <r>
      <rPr>
        <sz val="12"/>
        <color rgb="FF000000"/>
        <rFont val="Arial"/>
        <family val="2"/>
      </rPr>
      <t> </t>
    </r>
    <r>
      <rPr>
        <sz val="12"/>
        <color rgb="FF000000"/>
        <rFont val="Arial"/>
        <family val="2"/>
      </rPr>
      <t>Mrosek</t>
    </r>
    <r>
      <rPr>
        <vertAlign val="superscript"/>
        <sz val="12"/>
        <color rgb="FF000000"/>
        <rFont val="Arial"/>
        <family val="2"/>
      </rPr>
      <t>1</t>
    </r>
  </si>
  <si>
    <t>Dr. Sandra  Reich</t>
  </si>
  <si>
    <r>
      <rPr>
        <sz val="12"/>
        <color rgb="FF000000"/>
        <rFont val="Arial"/>
        <family val="2"/>
      </rPr>
      <t xml:space="preserve">Stefan </t>
    </r>
    <r>
      <rPr>
        <sz val="12"/>
        <color rgb="FF000000"/>
        <rFont val="Arial"/>
        <family val="2"/>
      </rPr>
      <t> </t>
    </r>
    <r>
      <rPr>
        <sz val="12"/>
        <color rgb="FF000000"/>
        <rFont val="Arial"/>
        <family val="2"/>
      </rPr>
      <t>Schmidt</t>
    </r>
    <r>
      <rPr>
        <vertAlign val="superscript"/>
        <sz val="12"/>
        <color rgb="FF000000"/>
        <rFont val="Arial"/>
        <family val="2"/>
      </rPr>
      <t>1</t>
    </r>
  </si>
  <si>
    <t>Length of membership</t>
  </si>
  <si>
    <t>Member since</t>
  </si>
  <si>
    <t>1999</t>
  </si>
  <si>
    <t>2011</t>
  </si>
  <si>
    <t>2019</t>
  </si>
  <si>
    <t>2023</t>
  </si>
  <si>
    <t>2021</t>
  </si>
  <si>
    <t>2018</t>
  </si>
  <si>
    <t>2013</t>
  </si>
  <si>
    <t>Personal suitability</t>
  </si>
  <si>
    <t>Independence</t>
  </si>
  <si>
    <t>√</t>
  </si>
  <si>
    <r>
      <rPr>
        <b/>
        <sz val="12"/>
        <color rgb="FF0C6296"/>
        <rFont val="Arial"/>
        <family val="2"/>
      </rPr>
      <t>√</t>
    </r>
  </si>
  <si>
    <t>Mandate limitations</t>
  </si>
  <si>
    <t>Diversity</t>
  </si>
  <si>
    <t>Gender</t>
  </si>
  <si>
    <t>Male</t>
  </si>
  <si>
    <t>Female</t>
  </si>
  <si>
    <t>Year of birth</t>
  </si>
  <si>
    <t>1949</t>
  </si>
  <si>
    <t>1963</t>
  </si>
  <si>
    <t>1978</t>
  </si>
  <si>
    <t>1960</t>
  </si>
  <si>
    <t>1965</t>
  </si>
  <si>
    <t>1972</t>
  </si>
  <si>
    <t>1964</t>
  </si>
  <si>
    <t>1956</t>
  </si>
  <si>
    <t>1989</t>
  </si>
  <si>
    <t>1977</t>
  </si>
  <si>
    <t>1967</t>
  </si>
  <si>
    <t>Education</t>
  </si>
  <si>
    <t>Chemistry</t>
  </si>
  <si>
    <r>
      <rPr>
        <sz val="12"/>
        <color rgb="FF000000"/>
        <rFont val="Arial"/>
        <family val="2"/>
      </rPr>
      <t>Power electronics technician</t>
    </r>
  </si>
  <si>
    <r>
      <rPr>
        <sz val="12"/>
        <color rgb="FF000000"/>
        <rFont val="Arial"/>
        <family val="2"/>
      </rPr>
      <t>Industrial management assistant</t>
    </r>
  </si>
  <si>
    <t>Business economist</t>
  </si>
  <si>
    <r>
      <rPr>
        <sz val="12"/>
        <color rgb="FF000000"/>
        <rFont val="Arial"/>
        <family val="2"/>
      </rPr>
      <t>Mine mechanic</t>
    </r>
  </si>
  <si>
    <r>
      <rPr>
        <sz val="12"/>
        <color rgb="FF000000"/>
        <rFont val="Arial"/>
        <family val="2"/>
      </rPr>
      <t>Mechanical engineering</t>
    </r>
  </si>
  <si>
    <r>
      <rPr>
        <sz val="12"/>
        <color rgb="FF000000"/>
        <rFont val="Arial"/>
        <family val="2"/>
      </rPr>
      <t>Economics</t>
    </r>
  </si>
  <si>
    <t>Process engineer</t>
  </si>
  <si>
    <r>
      <rPr>
        <sz val="12"/>
        <color rgb="FF000000"/>
        <rFont val="Arial"/>
        <family val="2"/>
      </rPr>
      <t>Business law</t>
    </r>
  </si>
  <si>
    <t>Metallurgy</t>
  </si>
  <si>
    <t>Citizenship</t>
  </si>
  <si>
    <t>German</t>
  </si>
  <si>
    <t>Skills</t>
  </si>
  <si>
    <t>Risk management</t>
  </si>
  <si>
    <t>ESG</t>
  </si>
  <si>
    <r>
      <rPr>
        <b/>
        <sz val="16"/>
        <color rgb="FF000000"/>
        <rFont val="Arial"/>
        <family val="2"/>
      </rPr>
      <t>Fundamentals of the 2023 compensation system</t>
    </r>
  </si>
  <si>
    <t>Fixed compensation</t>
  </si>
  <si>
    <t>Basic compensation (30–35 %)</t>
  </si>
  <si>
    <t>Fixed annual basic compensation that is paid out monthly in equal installments</t>
  </si>
  <si>
    <t xml:space="preserve">Pension plans (10–15 %) </t>
  </si>
  <si>
    <r>
      <rPr>
        <sz val="12"/>
        <color rgb="FF000000"/>
        <rFont val="Arial"/>
        <family val="2"/>
      </rPr>
      <t xml:space="preserve">	</t>
    </r>
    <r>
      <rPr>
        <sz val="12"/>
        <color rgb="FF0076A7"/>
        <rFont val="Arial"/>
        <family val="2"/>
      </rPr>
      <t>»</t>
    </r>
    <r>
      <rPr>
        <sz val="12"/>
        <color rgb="FF1D1D1D"/>
        <rFont val="Arial"/>
        <family val="2"/>
      </rPr>
      <t xml:space="preserve">Entitlement to the company pension plan in the form of a pension commitment, financed through a liability insurance policy
</t>
    </r>
    <r>
      <rPr>
        <sz val="12"/>
        <color rgb="FF000000"/>
        <rFont val="Arial"/>
        <family val="2"/>
      </rPr>
      <t xml:space="preserve">	</t>
    </r>
    <r>
      <rPr>
        <sz val="12"/>
        <color rgb="FF0076A7"/>
        <rFont val="Arial"/>
        <family val="2"/>
      </rPr>
      <t>»</t>
    </r>
    <r>
      <rPr>
        <sz val="12"/>
        <color rgb="FF1D1D1D"/>
        <rFont val="Arial"/>
        <family val="2"/>
      </rPr>
      <t>Defined contribution company pension plan in the form of a capital commitment</t>
    </r>
  </si>
  <si>
    <t>Fringe benefits (2–5 %)</t>
  </si>
  <si>
    <r>
      <rPr>
        <sz val="12"/>
        <color rgb="FF1D1D1D"/>
        <rFont val="Arial"/>
        <family val="2"/>
      </rPr>
      <t>Fringe benefits in the form of benefits in kind, which primarily consist of insurance premiums and company car use and are assessed according to tax guidelines</t>
    </r>
  </si>
  <si>
    <t>Annual variable compensation (20–25 %)</t>
  </si>
  <si>
    <t>Multiannual variable compensation (30–35 %)</t>
  </si>
  <si>
    <r>
      <rPr>
        <sz val="12"/>
        <color rgb="FF000000"/>
        <rFont val="Arial"/>
        <family val="2"/>
      </rPr>
      <t xml:space="preserve">	</t>
    </r>
    <r>
      <rPr>
        <sz val="12"/>
        <color rgb="FF0076A7"/>
        <rFont val="Arial"/>
        <family val="2"/>
      </rPr>
      <t>»</t>
    </r>
    <r>
      <rPr>
        <sz val="12"/>
        <color rgb="FF1D1D1D"/>
        <rFont val="Arial"/>
        <family val="2"/>
      </rPr>
      <t xml:space="preserve">Chairman: €3,300,000 
</t>
    </r>
    <r>
      <rPr>
        <sz val="12"/>
        <color rgb="FF000000"/>
        <rFont val="Arial"/>
        <family val="2"/>
      </rPr>
      <t xml:space="preserve">	</t>
    </r>
    <r>
      <rPr>
        <sz val="12"/>
        <color rgb="FF0076A7"/>
        <rFont val="Arial"/>
        <family val="2"/>
      </rPr>
      <t>»</t>
    </r>
    <r>
      <rPr>
        <sz val="12"/>
        <color rgb="FF1D1D1D"/>
        <rFont val="Arial"/>
        <family val="2"/>
      </rPr>
      <t xml:space="preserve">Regular member of the Supervisory Board: €2,300,000 </t>
    </r>
  </si>
  <si>
    <t>Malus and clawback</t>
  </si>
  <si>
    <r>
      <rPr>
        <sz val="12"/>
        <color rgb="FF1D1D1D"/>
        <rFont val="Arial"/>
        <family val="2"/>
      </rPr>
      <t>Possibility of a partial or full reduction (malus) or reclamation (clawback) of the variable compensation (annual and multiannual variable compensation) in the event of a compliance offense or errors in the consolidated financial statements</t>
    </r>
  </si>
  <si>
    <r>
      <rPr>
        <sz val="12"/>
        <color rgb="FF1D1D1D"/>
        <rFont val="Arial"/>
        <family val="2"/>
      </rPr>
      <t>In the event of a premature termination of an Executive Board contract without good cause, a severance payment will be made within the scope of the compensation system. Such payment is limited to two years’ total annual compensation and does not provide compensation for any period longer than the remaining term of the employment contract.</t>
    </r>
  </si>
  <si>
    <t>Post-contractual non-compete clause</t>
  </si>
  <si>
    <t>The employment contracts do not include any post-contractual non-compete clauses</t>
  </si>
  <si>
    <t>Change of control</t>
  </si>
  <si>
    <t>There are no promises of payments in the event of the Executive Board’s premature termination of the employment contract resulting from a change of control</t>
  </si>
  <si>
    <r>
      <rPr>
        <b/>
        <sz val="16"/>
        <color rgb="FF000000"/>
        <rFont val="Arial"/>
        <family val="2"/>
      </rPr>
      <t>2024/25 annual bonus — achievement of operating earnings before taxes (EBT) target</t>
    </r>
  </si>
  <si>
    <t>Minimum value</t>
  </si>
  <si>
    <t>Target value</t>
  </si>
  <si>
    <t>Maximum value</t>
  </si>
  <si>
    <t>Actual value</t>
  </si>
  <si>
    <t>EBT in € million</t>
  </si>
  <si>
    <t>Target achievement in %</t>
  </si>
  <si>
    <r>
      <rPr>
        <sz val="12"/>
        <color rgb="FF000000"/>
        <rFont val="Arial"/>
        <family val="2"/>
      </rPr>
      <t xml:space="preserve"> </t>
    </r>
  </si>
  <si>
    <t>Percentage</t>
  </si>
  <si>
    <t>Target measurement</t>
  </si>
  <si>
    <r>
      <rPr>
        <b/>
        <sz val="12"/>
        <color rgb="FF0076A7"/>
        <rFont val="Arial"/>
        <family val="2"/>
      </rPr>
      <t>Status</t>
    </r>
  </si>
  <si>
    <t>Plant security</t>
  </si>
  <si>
    <t>50 %</t>
  </si>
  <si>
    <t>Achieved</t>
  </si>
  <si>
    <t>150 %</t>
  </si>
  <si>
    <t>Partially achieved</t>
  </si>
  <si>
    <t>Leadership and culture</t>
  </si>
  <si>
    <r>
      <rPr>
        <b/>
        <sz val="16"/>
        <color rgb="FF000000"/>
        <rFont val="Arial"/>
        <family val="2"/>
      </rPr>
      <t>2024/25 annual bonus — achievement of ESG targets</t>
    </r>
  </si>
  <si>
    <r>
      <rPr>
        <b/>
        <sz val="12"/>
        <color rgb="FF000000"/>
        <rFont val="Arial"/>
        <family val="2"/>
      </rPr>
      <t>ESG (safety focus)</t>
    </r>
  </si>
  <si>
    <t>In the case of a fatal accident in the company, individual target achievement is 0 %. (Fatal accident of a contractor employee on June 24, 2025 at the Lünen plant)</t>
  </si>
  <si>
    <t>Executive Board member</t>
  </si>
  <si>
    <t>Operating EBT</t>
  </si>
  <si>
    <t>Individual performance</t>
  </si>
  <si>
    <t>ESG targets</t>
  </si>
  <si>
    <t>Target amount 
in €</t>
  </si>
  <si>
    <t>Weighting</t>
  </si>
  <si>
    <t>Target
achievement</t>
  </si>
  <si>
    <t>Total
target
achievement</t>
  </si>
  <si>
    <t>Annual bonus in €</t>
  </si>
  <si>
    <t>Dr. Toralf Haag</t>
  </si>
  <si>
    <t>Steffen Alexander Hoffmann</t>
  </si>
  <si>
    <t>Inge Hofkens</t>
  </si>
  <si>
    <t>Tim Kurth</t>
  </si>
  <si>
    <t>Target amount
in €</t>
  </si>
  <si>
    <t>Starting share price 
in €</t>
  </si>
  <si>
    <t>Preliminary number of virtual shares</t>
  </si>
  <si>
    <t>Deferred stock 
in €</t>
  </si>
  <si>
    <t>Number of virtual shares</t>
  </si>
  <si>
    <t>Final share price 
in €</t>
  </si>
  <si>
    <t>Payout 
in €</t>
  </si>
  <si>
    <t>Roland Harings</t>
  </si>
  <si>
    <t>Dr. Heiko Arnold</t>
  </si>
  <si>
    <t>Rainer Verhoeven</t>
  </si>
  <si>
    <t>in %</t>
  </si>
  <si>
    <t>Operating ROCE</t>
  </si>
  <si>
    <t>Target achievement</t>
  </si>
  <si>
    <t xml:space="preserve"> </t>
  </si>
  <si>
    <t>ROCE
target achievement</t>
  </si>
  <si>
    <t>Payout
in €</t>
  </si>
  <si>
    <r>
      <rPr>
        <b/>
        <sz val="16"/>
        <color rgb="FF000000"/>
        <rFont val="Arial"/>
        <family val="2"/>
      </rPr>
      <t>Target compensation in fiscal year 2024/25</t>
    </r>
    <r>
      <rPr>
        <b/>
        <vertAlign val="superscript"/>
        <sz val="16"/>
        <color rgb="FF000000"/>
        <rFont val="Arial"/>
        <family val="2"/>
      </rPr>
      <t>1</t>
    </r>
  </si>
  <si>
    <r>
      <rPr>
        <sz val="12"/>
        <color rgb="FF000000"/>
        <rFont val="Arial"/>
        <family val="2"/>
      </rPr>
      <t>2023/24</t>
    </r>
    <r>
      <rPr>
        <vertAlign val="superscript"/>
        <sz val="12"/>
        <color rgb="FF000000"/>
        <rFont val="Arial"/>
        <family val="2"/>
      </rPr>
      <t>2</t>
    </r>
  </si>
  <si>
    <t>2023/24</t>
  </si>
  <si>
    <t>in €</t>
  </si>
  <si>
    <t>Basic compensation</t>
  </si>
  <si>
    <t>Fringe benefits</t>
  </si>
  <si>
    <t>Pension contribution</t>
  </si>
  <si>
    <t>Annual variable compensation</t>
  </si>
  <si>
    <t>2024/25 annual bonus</t>
  </si>
  <si>
    <t>2023/24 annual bonus</t>
  </si>
  <si>
    <t>Multiannual variable compensation</t>
  </si>
  <si>
    <t>2024/25 performance share plan</t>
  </si>
  <si>
    <t>2023/24 performance share plan</t>
  </si>
  <si>
    <t>Total compensation</t>
  </si>
  <si>
    <r>
      <rPr>
        <vertAlign val="superscript"/>
        <sz val="10"/>
        <color rgb="FF1D1D1D"/>
        <rFont val="Arial"/>
        <family val="2"/>
      </rPr>
      <t xml:space="preserve">1  </t>
    </r>
    <r>
      <rPr>
        <sz val="10"/>
        <color rgb="FF1D1D1D"/>
        <rFont val="Arial"/>
        <family val="2"/>
      </rPr>
      <t xml:space="preserve">Percentages have been commercially rounded.
</t>
    </r>
    <r>
      <rPr>
        <vertAlign val="superscript"/>
        <sz val="10"/>
        <color rgb="FF1D1D1D"/>
        <rFont val="Arial"/>
        <family val="2"/>
      </rPr>
      <t xml:space="preserve">2  </t>
    </r>
    <r>
      <rPr>
        <sz val="10"/>
        <color rgb="FF1D1D1D"/>
        <rFont val="Arial"/>
        <family val="2"/>
      </rPr>
      <t xml:space="preserve">Pro rata compensation for the duration of the employment contract.
</t>
    </r>
    <r>
      <rPr>
        <vertAlign val="superscript"/>
        <sz val="10"/>
        <color rgb="FF1D1D1D"/>
        <rFont val="Arial"/>
        <family val="2"/>
      </rPr>
      <t>3</t>
    </r>
    <r>
      <rPr>
        <sz val="10"/>
        <color rgb="FF1D1D1D"/>
        <rFont val="Arial"/>
        <family val="2"/>
      </rPr>
      <t xml:space="preserve"> Tim Kurth was also Executive Director of Aurubis Bulgaria until September 30, 2025. A small portion of his basic compensation was therefore assumed by Aurubis Bulgaria.</t>
    </r>
  </si>
  <si>
    <r>
      <rPr>
        <b/>
        <sz val="16"/>
        <color rgb="FF000000"/>
        <rFont val="Arial"/>
        <family val="2"/>
      </rPr>
      <t>Compensation granted and owed to active Executive Board members in accordance with Section 162 of the German Stock Corporation Act (AktG) in fiscal year 2024/25</t>
    </r>
    <r>
      <rPr>
        <b/>
        <vertAlign val="superscript"/>
        <sz val="16"/>
        <color rgb="FF000000"/>
        <rFont val="Arial"/>
        <family val="2"/>
      </rPr>
      <t>1</t>
    </r>
  </si>
  <si>
    <t>One-time payments (compensation and severance payments)</t>
  </si>
  <si>
    <t>2020/21 deferred stock</t>
  </si>
  <si>
    <t>2021/22 performance cash plan</t>
  </si>
  <si>
    <t>2020/21 performance cash plan</t>
  </si>
  <si>
    <r>
      <rPr>
        <vertAlign val="superscript"/>
        <sz val="10"/>
        <color rgb="FF1D1D1D"/>
        <rFont val="Arial"/>
        <family val="2"/>
      </rPr>
      <t>1</t>
    </r>
    <r>
      <rPr>
        <sz val="10"/>
        <color rgb="FF1D1D1D"/>
        <rFont val="Arial"/>
        <family val="2"/>
      </rPr>
      <t xml:space="preserve"> Percentages have been commercially rounded.
</t>
    </r>
    <r>
      <rPr>
        <vertAlign val="superscript"/>
        <sz val="10"/>
        <color rgb="FF1D1D1D"/>
        <rFont val="Arial"/>
        <family val="2"/>
      </rPr>
      <t>2</t>
    </r>
    <r>
      <rPr>
        <sz val="10"/>
        <color rgb="FF1D1D1D"/>
        <rFont val="Arial"/>
        <family val="2"/>
      </rPr>
      <t xml:space="preserve"> Pro rata compensation for the duration of the employment contract.
</t>
    </r>
    <r>
      <rPr>
        <vertAlign val="superscript"/>
        <sz val="10"/>
        <color rgb="FF1D1D1D"/>
        <rFont val="Arial"/>
        <family val="2"/>
      </rPr>
      <t>3</t>
    </r>
    <r>
      <rPr>
        <sz val="10"/>
        <color rgb="FF1D1D1D"/>
        <rFont val="Arial"/>
        <family val="2"/>
      </rPr>
      <t xml:space="preserve"> In accordance with his employment contract, Steffen Alexander Hoffmann received a one-time payment for losses from his compensation plans with his former employer that were realized due to his switch to Aurubis AG.
</t>
    </r>
    <r>
      <rPr>
        <vertAlign val="superscript"/>
        <sz val="10"/>
        <color rgb="FF1D1D1D"/>
        <rFont val="Arial"/>
        <family val="2"/>
      </rPr>
      <t>4</t>
    </r>
    <r>
      <rPr>
        <sz val="10"/>
        <color rgb="FF1D1D1D"/>
        <rFont val="Arial"/>
        <family val="2"/>
      </rPr>
      <t xml:space="preserve"> Tim Kurth was also Executive Director of Aurubis Bulgaria until September 30, 2025. A small portion of his basic compensation was therefore assumed by Aurubis Bulgaria.</t>
    </r>
  </si>
  <si>
    <t xml:space="preserve">Pension payment </t>
  </si>
  <si>
    <t>Erwin Faust until June 30, 2017</t>
  </si>
  <si>
    <t>Dr. Bernd Drouven until October 1, 2015</t>
  </si>
  <si>
    <r>
      <rPr>
        <b/>
        <sz val="16"/>
        <color rgb="FF000000"/>
        <rFont val="Arial"/>
        <family val="2"/>
      </rPr>
      <t>Compensation granted and owed to the Supervisory Board in fiscal year 2024/25 in accordance with Section 162 of the German Stock Corporation Act (AktG)</t>
    </r>
    <r>
      <rPr>
        <b/>
        <vertAlign val="superscript"/>
        <sz val="16"/>
        <color rgb="FF000000"/>
        <rFont val="Arial"/>
        <family val="2"/>
      </rPr>
      <t>1</t>
    </r>
  </si>
  <si>
    <t>Compensation for committee membership</t>
  </si>
  <si>
    <t>Attendance fees</t>
  </si>
  <si>
    <t>Fiscal year 2024/25</t>
  </si>
  <si>
    <t>Shareholder representatives</t>
  </si>
  <si>
    <t>Prof. Dr. Fritz Vahrenholt
Supervisory Board Chairman</t>
  </si>
  <si>
    <t>since March 1, 2018</t>
  </si>
  <si>
    <t>since February 16, 2023</t>
  </si>
  <si>
    <t>since October 1, 2021</t>
  </si>
  <si>
    <t>since February 28, 2013</t>
  </si>
  <si>
    <t>Employee representatives</t>
  </si>
  <si>
    <t>Jan Koltze
Deputy Chairman of the Supervisory Board</t>
  </si>
  <si>
    <t>since March 3, 2011</t>
  </si>
  <si>
    <t>since May 3, 2019</t>
  </si>
  <si>
    <r>
      <rPr>
        <vertAlign val="superscript"/>
        <sz val="10"/>
        <color rgb="FF1D1D1D"/>
        <rFont val="Arial"/>
        <family val="2"/>
      </rPr>
      <t xml:space="preserve">1 </t>
    </r>
    <r>
      <rPr>
        <sz val="10"/>
        <color rgb="FF1D1D1D"/>
        <rFont val="Arial"/>
        <family val="2"/>
      </rPr>
      <t>Percentages have been commercially rounded.</t>
    </r>
  </si>
  <si>
    <r>
      <rPr>
        <b/>
        <sz val="16"/>
        <color rgb="FF000000"/>
        <rFont val="Arial"/>
        <family val="2"/>
      </rPr>
      <t>Compensation granted and owed to the Supervisory Board in fiscal year 2023/24 in accordance with Section 162 of the German Stock Corporation Act (AktG)</t>
    </r>
    <r>
      <rPr>
        <b/>
        <vertAlign val="superscript"/>
        <sz val="16"/>
        <color rgb="FF000000"/>
        <rFont val="Arial"/>
        <family val="2"/>
      </rPr>
      <t>1</t>
    </r>
  </si>
  <si>
    <t>Fiscal year 2023/24</t>
  </si>
  <si>
    <r>
      <rPr>
        <sz val="12"/>
        <color rgb="FF000000"/>
        <rFont val="Arial"/>
        <family val="2"/>
      </rPr>
      <t>Prof. Dr. Markus Kramer</t>
    </r>
    <r>
      <rPr>
        <vertAlign val="superscript"/>
        <sz val="12"/>
        <color rgb="FF000000"/>
        <rFont val="Arial"/>
        <family val="2"/>
      </rPr>
      <t>2</t>
    </r>
  </si>
  <si>
    <r>
      <rPr>
        <vertAlign val="superscript"/>
        <sz val="10"/>
        <color rgb="FF1D1D1D"/>
        <rFont val="Arial"/>
        <family val="2"/>
      </rPr>
      <t xml:space="preserve">1 </t>
    </r>
    <r>
      <rPr>
        <sz val="10"/>
        <color rgb="FF1D1D1D"/>
        <rFont val="Arial"/>
        <family val="2"/>
      </rPr>
      <t xml:space="preserve">Percentages have been commercially rounded.
</t>
    </r>
    <r>
      <rPr>
        <vertAlign val="superscript"/>
        <sz val="10"/>
        <color rgb="FF1D1D1D"/>
        <rFont val="Arial"/>
        <family val="2"/>
      </rPr>
      <t>2</t>
    </r>
    <r>
      <rPr>
        <sz val="10"/>
        <color rgb="FF1D1D1D"/>
        <rFont val="Arial"/>
        <family val="2"/>
      </rPr>
      <t xml:space="preserve"> Prof. Dr. Markus Kramer was seconded from the Supervisory Board to the Executive Board from March 1, 2024 to September 30, 2024 and therefore only receives pro rata Supervisory Board compensation for the period until February 29, 2024.</t>
    </r>
  </si>
  <si>
    <r>
      <rPr>
        <b/>
        <sz val="12"/>
        <color rgb="FF0076A7"/>
        <rFont val="Arial"/>
        <family val="2"/>
      </rPr>
      <t xml:space="preserve">2024/25 compensation
</t>
    </r>
    <r>
      <rPr>
        <b/>
        <sz val="12"/>
        <color rgb="FF0076A7"/>
        <rFont val="Arial"/>
        <family val="2"/>
      </rPr>
      <t>in €</t>
    </r>
  </si>
  <si>
    <r>
      <rPr>
        <sz val="12"/>
        <color rgb="FF1D1D1D"/>
        <rFont val="Arial"/>
        <family val="2"/>
      </rPr>
      <t xml:space="preserve">2024/25 change 
</t>
    </r>
    <r>
      <rPr>
        <sz val="12"/>
        <color rgb="FF1D1D1D"/>
        <rFont val="Arial"/>
        <family val="2"/>
      </rPr>
      <t xml:space="preserve">vs. 2023/24
</t>
    </r>
    <r>
      <rPr>
        <sz val="12"/>
        <color rgb="FF1D1D1D"/>
        <rFont val="Arial"/>
        <family val="2"/>
      </rPr>
      <t>in %</t>
    </r>
  </si>
  <si>
    <r>
      <rPr>
        <sz val="12"/>
        <color rgb="FF1D1D1D"/>
        <rFont val="Arial"/>
        <family val="2"/>
      </rPr>
      <t xml:space="preserve">2023/24 change 
</t>
    </r>
    <r>
      <rPr>
        <sz val="12"/>
        <color rgb="FF1D1D1D"/>
        <rFont val="Arial"/>
        <family val="2"/>
      </rPr>
      <t xml:space="preserve">vs. 2022/23
</t>
    </r>
    <r>
      <rPr>
        <sz val="12"/>
        <color rgb="FF1D1D1D"/>
        <rFont val="Arial"/>
        <family val="2"/>
      </rPr>
      <t>in %</t>
    </r>
  </si>
  <si>
    <r>
      <rPr>
        <sz val="12"/>
        <color rgb="FF1D1D1D"/>
        <rFont val="Arial"/>
        <family val="2"/>
      </rPr>
      <t xml:space="preserve">2022/23 
</t>
    </r>
    <r>
      <rPr>
        <sz val="12"/>
        <color rgb="FF1D1D1D"/>
        <rFont val="Arial"/>
        <family val="2"/>
      </rPr>
      <t xml:space="preserve">change vs. 2021/22
</t>
    </r>
    <r>
      <rPr>
        <sz val="12"/>
        <color rgb="FF1D1D1D"/>
        <rFont val="Arial"/>
        <family val="2"/>
      </rPr>
      <t>in %</t>
    </r>
  </si>
  <si>
    <r>
      <rPr>
        <sz val="12"/>
        <color rgb="FF1D1D1D"/>
        <rFont val="Arial"/>
        <family val="2"/>
      </rPr>
      <t xml:space="preserve">2021/22 change 
</t>
    </r>
    <r>
      <rPr>
        <sz val="12"/>
        <color rgb="FF1D1D1D"/>
        <rFont val="Arial"/>
        <family val="2"/>
      </rPr>
      <t xml:space="preserve">vs. 2020/21
</t>
    </r>
    <r>
      <rPr>
        <sz val="12"/>
        <color rgb="FF1D1D1D"/>
        <rFont val="Arial"/>
        <family val="2"/>
      </rPr>
      <t>in %</t>
    </r>
  </si>
  <si>
    <t>Earnings trend</t>
  </si>
  <si>
    <t>Net income for the year of Aurubis AG (German Commercial Code) in € million</t>
  </si>
  <si>
    <t>Operating earnings before taxes (EBT) of the Aurubis Group in € million</t>
  </si>
  <si>
    <t>Employee compensation</t>
  </si>
  <si>
    <t>Average compensation for the company's employees</t>
  </si>
  <si>
    <t>Executive Board members</t>
  </si>
  <si>
    <t>Executive Board members active in fiscal year 2024/25</t>
  </si>
  <si>
    <r>
      <rPr>
        <sz val="12"/>
        <color rgb="FF000000"/>
        <rFont val="Arial"/>
        <family val="2"/>
      </rPr>
      <t>Dr. Toralf Haag since September 1, 2024</t>
    </r>
    <r>
      <rPr>
        <vertAlign val="superscript"/>
        <sz val="12"/>
        <color rgb="FF000000"/>
        <rFont val="Arial"/>
        <family val="2"/>
      </rPr>
      <t>1</t>
    </r>
  </si>
  <si>
    <r>
      <rPr>
        <sz val="12"/>
        <color rgb="FF000000"/>
        <rFont val="Arial"/>
        <family val="2"/>
      </rPr>
      <t xml:space="preserve">Steffen Alexander Hoffmann since 
</t>
    </r>
    <r>
      <rPr>
        <sz val="12"/>
        <color rgb="FF000000"/>
        <rFont val="Arial"/>
        <family val="2"/>
      </rPr>
      <t>October 1, 2024</t>
    </r>
  </si>
  <si>
    <r>
      <rPr>
        <sz val="12"/>
        <color rgb="FF000000"/>
        <rFont val="Arial"/>
        <family val="2"/>
      </rPr>
      <t xml:space="preserve">Inge Hofkens since 
</t>
    </r>
    <r>
      <rPr>
        <sz val="12"/>
        <color rgb="FF000000"/>
        <rFont val="Arial"/>
        <family val="2"/>
      </rPr>
      <t>January 1, 2023</t>
    </r>
  </si>
  <si>
    <r>
      <rPr>
        <sz val="12"/>
        <color rgb="FF000000"/>
        <rFont val="Arial"/>
        <family val="2"/>
      </rPr>
      <t xml:space="preserve">Tim Kurth since 
</t>
    </r>
    <r>
      <rPr>
        <sz val="12"/>
        <color rgb="FF000000"/>
        <rFont val="Arial"/>
        <family val="2"/>
      </rPr>
      <t>September 1, 2024</t>
    </r>
    <r>
      <rPr>
        <vertAlign val="superscript"/>
        <sz val="12"/>
        <color rgb="FF000000"/>
        <rFont val="Arial"/>
        <family val="2"/>
      </rPr>
      <t>1</t>
    </r>
  </si>
  <si>
    <t>Former Executive Board members</t>
  </si>
  <si>
    <t>Roland Harings until September 30, 2024</t>
  </si>
  <si>
    <r>
      <rPr>
        <sz val="12"/>
        <color rgb="FF000000"/>
        <rFont val="Arial"/>
        <family val="2"/>
      </rPr>
      <t xml:space="preserve">Rainer Verhoeven until 
</t>
    </r>
    <r>
      <rPr>
        <sz val="12"/>
        <color rgb="FF000000"/>
        <rFont val="Arial"/>
        <family val="2"/>
      </rPr>
      <t>June 30, 2024</t>
    </r>
  </si>
  <si>
    <r>
      <rPr>
        <sz val="12"/>
        <color rgb="FF000000"/>
        <rFont val="Arial"/>
        <family val="2"/>
      </rPr>
      <t xml:space="preserve">Dr. Heiko Arnold until 
</t>
    </r>
    <r>
      <rPr>
        <sz val="12"/>
        <color rgb="FF000000"/>
        <rFont val="Arial"/>
        <family val="2"/>
      </rPr>
      <t>April 30, 2024</t>
    </r>
  </si>
  <si>
    <r>
      <rPr>
        <sz val="12"/>
        <color rgb="FF000000"/>
        <rFont val="Arial"/>
        <family val="2"/>
      </rPr>
      <t xml:space="preserve">Erwin Faust until 
</t>
    </r>
    <r>
      <rPr>
        <sz val="12"/>
        <color rgb="FF000000"/>
        <rFont val="Arial"/>
        <family val="2"/>
      </rPr>
      <t>June 30, 2017</t>
    </r>
  </si>
  <si>
    <t>Supervisory Board members</t>
  </si>
  <si>
    <t>Prof. Dr. Fritz Vahrenholt 
Supervisory Board Chairman since March 1, 2018</t>
  </si>
  <si>
    <t>Kathrin Dahnke since February 16, 2023</t>
  </si>
  <si>
    <t>Gunnar Groebler since October 1, 2021</t>
  </si>
  <si>
    <r>
      <rPr>
        <sz val="12"/>
        <color rgb="FF000000"/>
        <rFont val="Arial"/>
        <family val="2"/>
      </rPr>
      <t>Prof. Dr. Markus Kramer since February 16, 2023</t>
    </r>
    <r>
      <rPr>
        <vertAlign val="superscript"/>
        <sz val="12"/>
        <color rgb="FF000000"/>
        <rFont val="Arial"/>
        <family val="2"/>
      </rPr>
      <t>2</t>
    </r>
  </si>
  <si>
    <t>Dr. Stephan Krümmer since March 1, 2018</t>
  </si>
  <si>
    <t>Dr. Sandra Reich since February 28, 2013</t>
  </si>
  <si>
    <t>Jan Koltze 
Deputy Chairman of the Supervisory Board since March 3, 2011</t>
  </si>
  <si>
    <r>
      <rPr>
        <sz val="12"/>
        <color rgb="FF000000"/>
        <rFont val="Arial"/>
        <family val="2"/>
      </rPr>
      <t xml:space="preserve">Deniz Filiz Acar since 
</t>
    </r>
    <r>
      <rPr>
        <sz val="12"/>
        <color rgb="FF000000"/>
        <rFont val="Arial"/>
        <family val="2"/>
      </rPr>
      <t>May 3, 2019</t>
    </r>
  </si>
  <si>
    <t>Christian Ehrentraut since May 3, 2019</t>
  </si>
  <si>
    <r>
      <rPr>
        <sz val="12"/>
        <color rgb="FF000000"/>
        <rFont val="Arial"/>
        <family val="2"/>
      </rPr>
      <t xml:space="preserve">Dr. Elke Lossin since 
</t>
    </r>
    <r>
      <rPr>
        <sz val="12"/>
        <color rgb="FF000000"/>
        <rFont val="Arial"/>
        <family val="2"/>
      </rPr>
      <t>March 1, 2018</t>
    </r>
  </si>
  <si>
    <t>Daniel Mrosek since February 16, 2023</t>
  </si>
  <si>
    <r>
      <rPr>
        <sz val="12"/>
        <color rgb="FF000000"/>
        <rFont val="Arial"/>
        <family val="2"/>
      </rPr>
      <t xml:space="preserve">Stefan Schmidt since 
</t>
    </r>
    <r>
      <rPr>
        <sz val="12"/>
        <color rgb="FF000000"/>
        <rFont val="Arial"/>
        <family val="2"/>
      </rPr>
      <t>March 1, 2018</t>
    </r>
  </si>
  <si>
    <r>
      <rPr>
        <sz val="10"/>
        <color rgb="FF1D1D1D"/>
        <rFont val="Arial"/>
        <family val="2"/>
      </rPr>
      <t xml:space="preserve">Rounded figures.  
</t>
    </r>
    <r>
      <rPr>
        <vertAlign val="superscript"/>
        <sz val="10"/>
        <color rgb="FF1D1D1D"/>
        <rFont val="Arial"/>
        <family val="2"/>
      </rPr>
      <t xml:space="preserve">1 </t>
    </r>
    <r>
      <rPr>
        <sz val="10"/>
        <color rgb="FF1D1D1D"/>
        <rFont val="Arial"/>
        <family val="2"/>
      </rPr>
      <t xml:space="preserve">The significant change to overall compensation for the Executive Board members Dr. Toralf Haag and Tim Kurth compared to the previous year is due to their appointment during the 2023/24 fiscal year.
</t>
    </r>
    <r>
      <rPr>
        <vertAlign val="superscript"/>
        <sz val="10"/>
        <color rgb="FF1D1D1D"/>
        <rFont val="Arial"/>
        <family val="2"/>
      </rPr>
      <t xml:space="preserve">2 </t>
    </r>
    <r>
      <rPr>
        <sz val="10"/>
        <color rgb="FF1D1D1D"/>
        <rFont val="Arial"/>
        <family val="2"/>
      </rPr>
      <t>Prof. Dr. Markus Kramer was seconded from the Supervisory Board to the Executive Board from March 1, 2024 to September 30, 2024 and therefore only receives pro rata Supervisory Board compensation for the period until February 29, 2024.</t>
    </r>
  </si>
  <si>
    <r>
      <rPr>
        <b/>
        <sz val="16"/>
        <color rgb="FF000000"/>
        <rFont val="Arial"/>
        <family val="2"/>
      </rPr>
      <t>Key figures for Aurubis shares</t>
    </r>
  </si>
  <si>
    <t>2022/23</t>
  </si>
  <si>
    <t>2021/22</t>
  </si>
  <si>
    <t>2020/21</t>
  </si>
  <si>
    <r>
      <rPr>
        <sz val="12"/>
        <color rgb="FF000000"/>
        <rFont val="Arial"/>
        <family val="2"/>
      </rPr>
      <t>Closing price at fiscal year-end</t>
    </r>
    <r>
      <rPr>
        <vertAlign val="superscript"/>
        <sz val="12"/>
        <color rgb="FF000000"/>
        <rFont val="Arial"/>
        <family val="2"/>
      </rPr>
      <t>1</t>
    </r>
  </si>
  <si>
    <t>in €</t>
  </si>
  <si>
    <r>
      <rPr>
        <sz val="12"/>
        <color rgb="FF000000"/>
        <rFont val="Arial"/>
        <family val="2"/>
      </rPr>
      <t>Year high (close)</t>
    </r>
    <r>
      <rPr>
        <vertAlign val="superscript"/>
        <sz val="12"/>
        <color rgb="FF000000"/>
        <rFont val="Arial"/>
        <family val="2"/>
      </rPr>
      <t>1</t>
    </r>
  </si>
  <si>
    <r>
      <rPr>
        <sz val="12"/>
        <color rgb="FF000000"/>
        <rFont val="Arial"/>
        <family val="2"/>
      </rPr>
      <t>Year low (close)</t>
    </r>
    <r>
      <rPr>
        <vertAlign val="superscript"/>
        <sz val="12"/>
        <color rgb="FF000000"/>
        <rFont val="Arial"/>
        <family val="2"/>
      </rPr>
      <t>1</t>
    </r>
  </si>
  <si>
    <r>
      <rPr>
        <sz val="12"/>
        <color rgb="FF000000"/>
        <rFont val="Arial"/>
        <family val="2"/>
      </rPr>
      <t>Market capitalization at fiscal year-end</t>
    </r>
    <r>
      <rPr>
        <vertAlign val="superscript"/>
        <sz val="12"/>
        <color rgb="FF000000"/>
        <rFont val="Arial"/>
        <family val="2"/>
      </rPr>
      <t>1</t>
    </r>
  </si>
  <si>
    <t>in € million</t>
  </si>
  <si>
    <r>
      <rPr>
        <sz val="12"/>
        <color rgb="FF000000"/>
        <rFont val="Arial"/>
        <family val="2"/>
      </rPr>
      <t>Number of shares at fiscal year-end</t>
    </r>
  </si>
  <si>
    <t>in thousand units</t>
  </si>
  <si>
    <r>
      <rPr>
        <sz val="12"/>
        <color rgb="FF000000"/>
        <rFont val="Arial"/>
        <family val="2"/>
      </rPr>
      <t>Dividend or recommended dividend</t>
    </r>
  </si>
  <si>
    <t>Payout ratio</t>
  </si>
  <si>
    <t>in %</t>
  </si>
  <si>
    <t>Dividend yield</t>
  </si>
  <si>
    <r>
      <rPr>
        <sz val="12"/>
        <color rgb="FF000000"/>
        <rFont val="Arial"/>
        <family val="2"/>
      </rPr>
      <t>Operating earnings per share</t>
    </r>
  </si>
  <si>
    <r>
      <rPr>
        <sz val="12"/>
        <color rgb="FF000000"/>
        <rFont val="Arial"/>
        <family val="2"/>
      </rPr>
      <t>Operating price/earnings ratio at fiscal year-end</t>
    </r>
  </si>
  <si>
    <r>
      <rPr>
        <sz val="12"/>
        <color rgb="FF000000"/>
        <rFont val="Arial"/>
        <family val="2"/>
      </rPr>
      <t>Security Identification Number</t>
    </r>
  </si>
  <si>
    <t>676650 </t>
  </si>
  <si>
    <r>
      <rPr>
        <sz val="12"/>
        <color rgb="FF000000"/>
        <rFont val="Arial"/>
        <family val="2"/>
      </rPr>
      <t>International Securities Identification Number (ISIN)</t>
    </r>
  </si>
  <si>
    <t>DE 000 67 66 504 </t>
  </si>
  <si>
    <r>
      <rPr>
        <sz val="12"/>
        <color rgb="FF000000"/>
        <rFont val="Arial"/>
        <family val="2"/>
      </rPr>
      <t>Issued no-par shares</t>
    </r>
  </si>
  <si>
    <r>
      <rPr>
        <sz val="12"/>
        <color rgb="FF000000"/>
        <rFont val="Arial"/>
        <family val="2"/>
      </rPr>
      <t>44,956,723 (no par value)</t>
    </r>
  </si>
  <si>
    <r>
      <rPr>
        <sz val="12"/>
        <color rgb="FF000000"/>
        <rFont val="Arial"/>
        <family val="2"/>
      </rPr>
      <t>Treasury shares held by Aurubis AG</t>
    </r>
  </si>
  <si>
    <t>1,297,693 (at September 30, 2025)</t>
  </si>
  <si>
    <t>Stock market segment </t>
  </si>
  <si>
    <t>MDAX </t>
  </si>
  <si>
    <t>Stock exchanges</t>
  </si>
  <si>
    <t>Regulated market: Frankfurt am Main and Hamburg; unofficial market: Berlin, Düsseldorf, Hanover, Munich, Stuttgart, Tradegate</t>
  </si>
  <si>
    <t>Market segment </t>
  </si>
  <si>
    <t>Prime Standard </t>
  </si>
  <si>
    <t>Issue price </t>
  </si>
  <si>
    <t>€12.78 </t>
  </si>
  <si>
    <t>Average daily trading volume </t>
  </si>
  <si>
    <t>138,047 shares in Xetra trading </t>
  </si>
  <si>
    <t>Ticker symbol </t>
  </si>
  <si>
    <t>NDA </t>
  </si>
  <si>
    <t>Reuters code </t>
  </si>
  <si>
    <t>NAFG </t>
  </si>
  <si>
    <t>Bloomberg code </t>
  </si>
  <si>
    <t>NDA_GR </t>
  </si>
  <si>
    <r>
      <rPr>
        <sz val="12"/>
        <color rgb="FF000000"/>
        <rFont val="Arial"/>
        <family val="2"/>
      </rPr>
      <t>Baader Bank</t>
    </r>
  </si>
  <si>
    <t>Christian Obst</t>
  </si>
  <si>
    <t>Bankhaus Metzler</t>
  </si>
  <si>
    <t>Thomas Schulte-Vorwick</t>
  </si>
  <si>
    <t>Bank of America</t>
  </si>
  <si>
    <t>Jason Fairclough</t>
  </si>
  <si>
    <t>Deutsche Bank </t>
  </si>
  <si>
    <t xml:space="preserve">Bastian Synagowitz </t>
  </si>
  <si>
    <t>DZ Bank</t>
  </si>
  <si>
    <t>Dirk Schlamp</t>
  </si>
  <si>
    <t>Exane BNP Paribas</t>
  </si>
  <si>
    <t>Alan Spence</t>
  </si>
  <si>
    <r>
      <rPr>
        <sz val="12"/>
        <color rgb="FF000000"/>
        <rFont val="Arial"/>
        <family val="2"/>
      </rPr>
      <t>Kepler Cheuvreux</t>
    </r>
  </si>
  <si>
    <t>Boris Bourdet</t>
  </si>
  <si>
    <t>LBBW</t>
  </si>
  <si>
    <t>Jens Münstermann</t>
  </si>
  <si>
    <t>M.M. Warburg</t>
  </si>
  <si>
    <t>Stefan Augustin</t>
  </si>
  <si>
    <t>Morgan Stanley</t>
  </si>
  <si>
    <t>Ioannis Masvoulas</t>
  </si>
  <si>
    <t>Oddo BHF</t>
  </si>
  <si>
    <t>Maxime Kogge</t>
  </si>
  <si>
    <r>
      <rPr>
        <sz val="12"/>
        <color rgb="FF000000"/>
        <rFont val="Arial"/>
        <family val="2"/>
      </rPr>
      <t>UBS Europe</t>
    </r>
  </si>
  <si>
    <t>Daniel Major</t>
  </si>
  <si>
    <t>Consolidated sites</t>
  </si>
  <si>
    <t>Europe</t>
  </si>
  <si>
    <t>DE</t>
  </si>
  <si>
    <t>Hamburg</t>
  </si>
  <si>
    <r>
      <rPr>
        <sz val="12"/>
        <color rgb="FF000000"/>
        <rFont val="Arial"/>
        <family val="2"/>
      </rPr>
      <t xml:space="preserve">Aurubis AG including Group headquarters </t>
    </r>
  </si>
  <si>
    <t>Peute Baustoff GmbH</t>
  </si>
  <si>
    <t>Lünen</t>
  </si>
  <si>
    <t>Aurubis AG</t>
  </si>
  <si>
    <t>Stolberg</t>
  </si>
  <si>
    <t>Aurubis Stolberg GmbH &amp; Co. KG</t>
  </si>
  <si>
    <t>Emmerich</t>
  </si>
  <si>
    <t>Deutsche Giessdraht GmbH</t>
  </si>
  <si>
    <t>Röthenbach</t>
  </si>
  <si>
    <t>RETORTE GmbH Selenium Chemicals &amp; Metals</t>
  </si>
  <si>
    <t>BG</t>
  </si>
  <si>
    <t>Pirdop</t>
  </si>
  <si>
    <t>Aurubis Bulgaria AD</t>
  </si>
  <si>
    <t>BE</t>
  </si>
  <si>
    <t>Olen</t>
  </si>
  <si>
    <t>Aurubis Olen NV/SA</t>
  </si>
  <si>
    <t>Beerse</t>
  </si>
  <si>
    <t>Aurubis Beerse NV</t>
  </si>
  <si>
    <t>FI</t>
  </si>
  <si>
    <t>Pori</t>
  </si>
  <si>
    <t>Aurubis Finland Oy</t>
  </si>
  <si>
    <t>IT</t>
  </si>
  <si>
    <t>Avellino</t>
  </si>
  <si>
    <t>Aurubis Italia Srl</t>
  </si>
  <si>
    <t>ES</t>
  </si>
  <si>
    <t>Berango</t>
  </si>
  <si>
    <t>Aurubis Berango S. L. U.</t>
  </si>
  <si>
    <t>UK</t>
  </si>
  <si>
    <r>
      <rPr>
        <sz val="12"/>
        <color rgb="FF000000"/>
        <rFont val="Arial"/>
        <family val="2"/>
      </rPr>
      <t>Edinburgh</t>
    </r>
    <r>
      <rPr>
        <vertAlign val="superscript"/>
        <sz val="12"/>
        <color rgb="FF000000"/>
        <rFont val="Arial"/>
        <family val="2"/>
      </rPr>
      <t>1</t>
    </r>
  </si>
  <si>
    <t>FR</t>
  </si>
  <si>
    <t>Metz</t>
  </si>
  <si>
    <r>
      <rPr>
        <sz val="12"/>
        <color rgb="FF000000"/>
        <rFont val="Arial"/>
        <family val="2"/>
      </rPr>
      <t>CZ</t>
    </r>
  </si>
  <si>
    <r>
      <rPr>
        <sz val="12"/>
        <color rgb="FF000000"/>
        <rFont val="Arial"/>
        <family val="2"/>
      </rPr>
      <t>Prag</t>
    </r>
  </si>
  <si>
    <r>
      <rPr>
        <sz val="12"/>
        <color rgb="FF000000"/>
        <rFont val="Arial"/>
        <family val="2"/>
      </rPr>
      <t>Aurubis Stolberg GmbH &amp; Co. KG</t>
    </r>
  </si>
  <si>
    <r>
      <rPr>
        <sz val="12"/>
        <color rgb="FF000000"/>
        <rFont val="Arial"/>
        <family val="2"/>
      </rPr>
      <t>NL</t>
    </r>
  </si>
  <si>
    <r>
      <rPr>
        <sz val="12"/>
        <color rgb="FF000000"/>
        <rFont val="Arial"/>
        <family val="2"/>
      </rPr>
      <t>Groenlo</t>
    </r>
  </si>
  <si>
    <t>Employees in Europe</t>
  </si>
  <si>
    <t>US</t>
  </si>
  <si>
    <t>Augusta</t>
  </si>
  <si>
    <t>Aurubis Richmond LLP</t>
  </si>
  <si>
    <t>Employees in the US</t>
  </si>
  <si>
    <t>Total employees</t>
  </si>
  <si>
    <r>
      <rPr>
        <sz val="10"/>
        <color rgb="FF1D1D1D"/>
        <rFont val="Arial"/>
        <family val="2"/>
      </rPr>
      <t xml:space="preserve">The KPIs relate to permanent and temporary employment arrangements as at the September 30, 2025 reporting date. 
</t>
    </r>
    <r>
      <rPr>
        <sz val="10"/>
        <color rgb="FF1D1D1D"/>
        <rFont val="Arial"/>
        <family val="2"/>
      </rPr>
      <t xml:space="preserve">Excluding companies consolidated using the equity method. 
</t>
    </r>
    <r>
      <rPr>
        <sz val="10"/>
        <color rgb="FF1D1D1D"/>
        <rFont val="Arial"/>
        <family val="2"/>
      </rPr>
      <t xml:space="preserve">Sites without employees are not listed. 
</t>
    </r>
    <r>
      <rPr>
        <sz val="10"/>
        <color rgb="FF1D1D1D"/>
        <rFont val="Arial"/>
        <family val="2"/>
      </rPr>
      <t>Group representative offices are not listed separately.</t>
    </r>
  </si>
  <si>
    <t>Non-consolidated sites and independent sales employees</t>
  </si>
  <si>
    <r>
      <rPr>
        <sz val="12"/>
        <color rgb="FF000000"/>
        <rFont val="Arial"/>
        <family val="2"/>
      </rPr>
      <t>Hamburg</t>
    </r>
  </si>
  <si>
    <r>
      <rPr>
        <sz val="12"/>
        <color rgb="FF000000"/>
        <rFont val="Arial"/>
        <family val="2"/>
      </rPr>
      <t>azeti GmbH</t>
    </r>
  </si>
  <si>
    <t>SE</t>
  </si>
  <si>
    <r>
      <rPr>
        <sz val="12"/>
        <color rgb="FF000000"/>
        <rFont val="Arial"/>
        <family val="2"/>
      </rPr>
      <t>Västerås</t>
    </r>
    <r>
      <rPr>
        <vertAlign val="superscript"/>
        <sz val="12"/>
        <color rgb="FF000000"/>
        <rFont val="Arial"/>
        <family val="2"/>
      </rPr>
      <t>1</t>
    </r>
  </si>
  <si>
    <t>Aurubis Holding Sweden AB</t>
  </si>
  <si>
    <t>TR</t>
  </si>
  <si>
    <t>Istanbul</t>
  </si>
  <si>
    <t>Aurubis Turkey Kimya Anonim Sirketi</t>
  </si>
  <si>
    <t>Asia</t>
  </si>
  <si>
    <t>CN</t>
  </si>
  <si>
    <r>
      <rPr>
        <sz val="12"/>
        <color rgb="FF000000"/>
        <rFont val="Arial"/>
        <family val="2"/>
      </rPr>
      <t>Beijing</t>
    </r>
    <r>
      <rPr>
        <vertAlign val="superscript"/>
        <sz val="12"/>
        <color rgb="FF000000"/>
        <rFont val="Arial"/>
        <family val="2"/>
      </rPr>
      <t>1</t>
    </r>
  </si>
  <si>
    <t>Shanghai</t>
  </si>
  <si>
    <t>Aurubis Metal Products (Shanghai) Co., Ltd.</t>
  </si>
  <si>
    <t>JP</t>
  </si>
  <si>
    <r>
      <rPr>
        <sz val="12"/>
        <color rgb="FF000000"/>
        <rFont val="Arial"/>
        <family val="2"/>
      </rPr>
      <t>Tokyo</t>
    </r>
    <r>
      <rPr>
        <vertAlign val="superscript"/>
        <sz val="12"/>
        <color rgb="FF000000"/>
        <rFont val="Arial"/>
        <family val="2"/>
      </rPr>
      <t>1</t>
    </r>
  </si>
  <si>
    <t>KR</t>
  </si>
  <si>
    <r>
      <rPr>
        <sz val="12"/>
        <color rgb="FF000000"/>
        <rFont val="Arial"/>
        <family val="2"/>
      </rPr>
      <t>Seoul</t>
    </r>
    <r>
      <rPr>
        <vertAlign val="superscript"/>
        <sz val="12"/>
        <color rgb="FF000000"/>
        <rFont val="Arial"/>
        <family val="2"/>
      </rPr>
      <t>1</t>
    </r>
  </si>
  <si>
    <r>
      <rPr>
        <sz val="12"/>
        <color rgb="FF000000"/>
        <rFont val="Arial"/>
        <family val="2"/>
      </rPr>
      <t>UAE</t>
    </r>
  </si>
  <si>
    <r>
      <rPr>
        <sz val="12"/>
        <color rgb="FF000000"/>
        <rFont val="Arial"/>
        <family val="2"/>
      </rPr>
      <t>Dubai</t>
    </r>
  </si>
  <si>
    <r>
      <rPr>
        <sz val="12"/>
        <color rgb="FF000000"/>
        <rFont val="Arial"/>
        <family val="2"/>
      </rPr>
      <t>Aurubis Middle East DMCC</t>
    </r>
  </si>
  <si>
    <t>Employees in Asia</t>
  </si>
  <si>
    <t>Raw materials</t>
  </si>
  <si>
    <r>
      <rPr>
        <sz val="12"/>
        <color rgb="FF1D1D1D"/>
        <rFont val="Arial"/>
        <family val="2"/>
      </rPr>
      <t>Concentrates and recycling materials are the raw materials from which metals are produced.</t>
    </r>
  </si>
  <si>
    <t>Concentrates</t>
  </si>
  <si>
    <t>Recycling materials</t>
  </si>
  <si>
    <t>Sales and distribution network</t>
  </si>
  <si>
    <t>An international sales and distribution network markets our products.</t>
  </si>
  <si>
    <t>Products</t>
  </si>
  <si>
    <r>
      <rPr>
        <sz val="12"/>
        <color rgb="FF1D1D1D"/>
        <rFont val="Arial"/>
        <family val="2"/>
      </rPr>
      <t>The copper is processed into products. Some products result from copper production.</t>
    </r>
  </si>
  <si>
    <t>Cathodes</t>
  </si>
  <si>
    <t>Wire rod</t>
  </si>
  <si>
    <t>Shapes</t>
  </si>
  <si>
    <t>Specialty profiles</t>
  </si>
  <si>
    <t>Precious metals</t>
  </si>
  <si>
    <t>Minor metals</t>
  </si>
  <si>
    <t>Sulfuric acid</t>
  </si>
  <si>
    <t>Iron silicate</t>
  </si>
  <si>
    <t>Strip/foil</t>
  </si>
  <si>
    <t>Specialty wire</t>
  </si>
  <si>
    <t>Synthetic minerals</t>
  </si>
  <si>
    <r>
      <rPr>
        <b/>
        <sz val="16"/>
        <color rgb="FF000000"/>
        <rFont val="Arial"/>
        <family val="2"/>
      </rPr>
      <t>Operating return on capital employed (ROCE)</t>
    </r>
  </si>
  <si>
    <t>9/30/2025</t>
  </si>
  <si>
    <t>9/30/2024</t>
  </si>
  <si>
    <t>Fixed assets, excluding financial fixed assets</t>
  </si>
  <si>
    <t>Inventories</t>
  </si>
  <si>
    <t>Trade accounts receivable</t>
  </si>
  <si>
    <t>Other receivables and assets</t>
  </si>
  <si>
    <r>
      <rPr>
        <sz val="12"/>
        <color rgb="FF000000"/>
        <rFont val="Arial"/>
        <family val="2"/>
      </rPr>
      <t>Trade accounts payable</t>
    </r>
  </si>
  <si>
    <r>
      <rPr>
        <sz val="12"/>
        <color rgb="FF000000"/>
        <rFont val="Arial"/>
        <family val="2"/>
      </rPr>
      <t>Provisions and other liabilities</t>
    </r>
  </si>
  <si>
    <t>Capital employed as at the reporting date – operating</t>
  </si>
  <si>
    <t>Earnings before taxes (EBT)</t>
  </si>
  <si>
    <t>Financial result</t>
  </si>
  <si>
    <t>Investments accounted for using the equity method</t>
  </si>
  <si>
    <t>Earnings before interest and taxes (EBIT) – adjusted</t>
  </si>
  <si>
    <t>Return on capital employed (operating ROCE)</t>
  </si>
  <si>
    <r>
      <rPr>
        <b/>
        <sz val="16"/>
        <color rgb="FF000000"/>
        <rFont val="Arial"/>
        <family val="2"/>
      </rPr>
      <t>Safety KPIs for Aurubis employees, temporary workers, and contractor workers</t>
    </r>
  </si>
  <si>
    <r>
      <rPr>
        <b/>
        <sz val="12"/>
        <color rgb="FF0076A7"/>
        <rFont val="Arial"/>
        <family val="2"/>
      </rPr>
      <t>2024/25</t>
    </r>
  </si>
  <si>
    <r>
      <rPr>
        <sz val="12"/>
        <color rgb="FF000000"/>
        <rFont val="Arial"/>
        <family val="2"/>
      </rPr>
      <t>2023/24</t>
    </r>
  </si>
  <si>
    <r>
      <rPr>
        <sz val="12"/>
        <color rgb="FF000000"/>
        <rFont val="Arial"/>
        <family val="2"/>
      </rPr>
      <t>2022/23</t>
    </r>
  </si>
  <si>
    <r>
      <rPr>
        <sz val="12"/>
        <color rgb="FF000000"/>
        <rFont val="Arial"/>
        <family val="2"/>
      </rPr>
      <t>2021/22</t>
    </r>
  </si>
  <si>
    <r>
      <rPr>
        <sz val="12"/>
        <color rgb="FF000000"/>
        <rFont val="Arial"/>
        <family val="2"/>
      </rPr>
      <t>Absolute number of accidents (LTI)</t>
    </r>
    <r>
      <rPr>
        <vertAlign val="superscript"/>
        <sz val="12"/>
        <color rgb="FF000000"/>
        <rFont val="Arial"/>
        <family val="2"/>
      </rPr>
      <t>1, 2</t>
    </r>
    <r>
      <rPr>
        <sz val="12"/>
        <color rgb="FF000000"/>
        <rFont val="Arial"/>
        <family val="2"/>
      </rPr>
      <t xml:space="preserve"> </t>
    </r>
  </si>
  <si>
    <r>
      <rPr>
        <sz val="12"/>
        <color rgb="FF000000"/>
        <rFont val="Arial"/>
        <family val="2"/>
      </rPr>
      <t>of which fatal accidents</t>
    </r>
  </si>
  <si>
    <r>
      <rPr>
        <sz val="12"/>
        <color rgb="FF000000"/>
        <rFont val="Arial"/>
        <family val="2"/>
      </rPr>
      <t>LTIFR</t>
    </r>
    <r>
      <rPr>
        <vertAlign val="superscript"/>
        <sz val="12"/>
        <color rgb="FF000000"/>
        <rFont val="Arial"/>
        <family val="2"/>
      </rPr>
      <t>2</t>
    </r>
  </si>
  <si>
    <r>
      <rPr>
        <sz val="10"/>
        <color rgb="FF000000"/>
        <rFont val="Arial"/>
        <family val="2"/>
      </rPr>
      <t xml:space="preserve">	</t>
    </r>
    <r>
      <rPr>
        <vertAlign val="superscript"/>
        <sz val="10"/>
        <color rgb="FF000000"/>
        <rFont val="Kievit for Aurubis Light"/>
      </rPr>
      <t>1</t>
    </r>
    <r>
      <rPr>
        <sz val="10"/>
        <color rgb="FF1D1D1D"/>
        <rFont val="Arial"/>
        <family val="2"/>
      </rPr>
      <t xml:space="preserve">Accidents with lost time of at least one shift, including fatalities. Minority holdings are not included. Aurubis Buffalo included until August 30, 2024 and Aurubis Richmond included starting October 1, 2022.
</t>
    </r>
    <r>
      <rPr>
        <sz val="10"/>
        <color rgb="FF000000"/>
        <rFont val="Arial"/>
        <family val="2"/>
      </rPr>
      <t xml:space="preserve">	</t>
    </r>
    <r>
      <rPr>
        <vertAlign val="superscript"/>
        <sz val="10"/>
        <color rgb="FF000000"/>
        <rFont val="Kievit for Aurubis Light"/>
      </rPr>
      <t>2</t>
    </r>
    <r>
      <rPr>
        <sz val="10"/>
        <color rgb="FF1D1D1D"/>
        <rFont val="Arial"/>
        <family val="2"/>
      </rPr>
      <t>LTI and LTIFR for Aurubis employees, temporary workers, and contractors.</t>
    </r>
  </si>
  <si>
    <t>12M 2024/25</t>
  </si>
  <si>
    <t>12M 2023/24</t>
  </si>
  <si>
    <t>IFRS</t>
  </si>
  <si>
    <t>Adjustment
effects</t>
  </si>
  <si>
    <t>Operating</t>
  </si>
  <si>
    <t>Revenues</t>
  </si>
  <si>
    <t>Changes in inventories of finished goods and work in process</t>
  </si>
  <si>
    <t>Own work capitalized</t>
  </si>
  <si>
    <t>Other operating income</t>
  </si>
  <si>
    <t>Cost of materials</t>
  </si>
  <si>
    <t>Gross profit</t>
  </si>
  <si>
    <t>Personnel expenses</t>
  </si>
  <si>
    <r>
      <rPr>
        <sz val="12"/>
        <color rgb="FF000000"/>
        <rFont val="Arial"/>
        <family val="2"/>
      </rPr>
      <t>Depreciation of property, plant and equipment and amortization of intangible assets</t>
    </r>
  </si>
  <si>
    <t>Other operating expenses</t>
  </si>
  <si>
    <t>Operational result (EBIT)</t>
  </si>
  <si>
    <t>Result from investments measured using the equity method</t>
  </si>
  <si>
    <t>Interest income</t>
  </si>
  <si>
    <t>Interest expense</t>
  </si>
  <si>
    <t>Other financial income</t>
  </si>
  <si>
    <t>Other financial expenses</t>
  </si>
  <si>
    <t>Income taxes</t>
  </si>
  <si>
    <t>Consolidated net income</t>
  </si>
  <si>
    <r>
      <rPr>
        <b/>
        <sz val="16"/>
        <color rgb="FF000000"/>
        <rFont val="Arial"/>
        <family val="2"/>
      </rPr>
      <t>Breakdown of revenues by sales markets</t>
    </r>
  </si>
  <si>
    <t>Germany</t>
  </si>
  <si>
    <r>
      <rPr>
        <sz val="12"/>
        <color rgb="FF000000"/>
        <rFont val="Arial"/>
        <family val="2"/>
      </rPr>
      <t>Rest of European Union</t>
    </r>
  </si>
  <si>
    <t>Rest of Europe</t>
  </si>
  <si>
    <t>Other</t>
  </si>
  <si>
    <t>Group total</t>
  </si>
  <si>
    <r>
      <rPr>
        <sz val="12"/>
        <color rgb="FF000000"/>
        <rFont val="Arial"/>
        <family val="2"/>
      </rPr>
      <t>in € million</t>
    </r>
  </si>
  <si>
    <r>
      <rPr>
        <sz val="12"/>
        <color rgb="FF000000"/>
        <rFont val="Arial"/>
        <family val="2"/>
      </rPr>
      <t>Non-current bank borrowings</t>
    </r>
  </si>
  <si>
    <r>
      <rPr>
        <sz val="12"/>
        <color rgb="FF000000"/>
        <rFont val="Arial"/>
        <family val="2"/>
      </rPr>
      <t>Non-current liabilities under finance leases</t>
    </r>
  </si>
  <si>
    <r>
      <rPr>
        <b/>
        <sz val="12"/>
        <color rgb="FF000000"/>
        <rFont val="Arial"/>
        <family val="2"/>
      </rPr>
      <t>Non-current borrowings</t>
    </r>
  </si>
  <si>
    <r>
      <rPr>
        <sz val="12"/>
        <color rgb="FF000000"/>
        <rFont val="Arial"/>
        <family val="2"/>
      </rPr>
      <t>Current bank borrowings</t>
    </r>
  </si>
  <si>
    <r>
      <rPr>
        <sz val="12"/>
        <color rgb="FF000000"/>
        <rFont val="Arial"/>
        <family val="2"/>
      </rPr>
      <t>Current liabilities under finance leases</t>
    </r>
  </si>
  <si>
    <r>
      <rPr>
        <b/>
        <sz val="12"/>
        <color rgb="FF000000"/>
        <rFont val="Arial"/>
        <family val="2"/>
      </rPr>
      <t>Current borrowings</t>
    </r>
  </si>
  <si>
    <r>
      <rPr>
        <b/>
        <sz val="12"/>
        <color rgb="FF000000"/>
        <rFont val="Arial"/>
        <family val="2"/>
      </rPr>
      <t>Total borrowings</t>
    </r>
  </si>
  <si>
    <t>Fixed assets</t>
  </si>
  <si>
    <t>Receivables, etc. (including deferred tax assets)</t>
  </si>
  <si>
    <t>Cash and cash equivalents</t>
  </si>
  <si>
    <t>Assets</t>
  </si>
  <si>
    <t>Equity</t>
  </si>
  <si>
    <t>Provisions, etc. (including deferred tax liabilities)</t>
  </si>
  <si>
    <t>Liabilities</t>
  </si>
  <si>
    <t>Equity and liabilities</t>
  </si>
  <si>
    <r>
      <rPr>
        <b/>
        <sz val="12"/>
        <color rgb="FF000000"/>
        <rFont val="Arial"/>
        <family val="2"/>
      </rPr>
      <t>Assets</t>
    </r>
  </si>
  <si>
    <r>
      <rPr>
        <sz val="12"/>
        <color rgb="FF000000"/>
        <rFont val="Arial"/>
        <family val="2"/>
      </rPr>
      <t>Fixed assets</t>
    </r>
  </si>
  <si>
    <r>
      <rPr>
        <sz val="12"/>
        <color rgb="FF000000"/>
        <rFont val="Arial"/>
        <family val="2"/>
      </rPr>
      <t>Deferred tax assets</t>
    </r>
  </si>
  <si>
    <r>
      <rPr>
        <sz val="12"/>
        <color rgb="FF000000"/>
        <rFont val="Arial"/>
        <family val="2"/>
      </rPr>
      <t>Non-current receivables and other assets</t>
    </r>
  </si>
  <si>
    <r>
      <rPr>
        <sz val="12"/>
        <color rgb="FF000000"/>
        <rFont val="Arial"/>
        <family val="2"/>
      </rPr>
      <t>Inventories</t>
    </r>
  </si>
  <si>
    <r>
      <rPr>
        <sz val="12"/>
        <color rgb="FF000000"/>
        <rFont val="Arial"/>
        <family val="2"/>
      </rPr>
      <t>Current receivables and other assets</t>
    </r>
  </si>
  <si>
    <r>
      <rPr>
        <sz val="12"/>
        <color rgb="FF000000"/>
        <rFont val="Arial"/>
        <family val="2"/>
      </rPr>
      <t>Cash and cash equivalents</t>
    </r>
  </si>
  <si>
    <r>
      <rPr>
        <b/>
        <sz val="12"/>
        <color rgb="FF000000"/>
        <rFont val="Arial"/>
        <family val="2"/>
      </rPr>
      <t>Total assets</t>
    </r>
  </si>
  <si>
    <r>
      <rPr>
        <b/>
        <sz val="12"/>
        <color rgb="FF000000"/>
        <rFont val="Arial"/>
        <family val="2"/>
      </rPr>
      <t>Equity and liabilities</t>
    </r>
  </si>
  <si>
    <r>
      <rPr>
        <sz val="12"/>
        <color rgb="FF000000"/>
        <rFont val="Arial"/>
        <family val="2"/>
      </rPr>
      <t>Equity</t>
    </r>
  </si>
  <si>
    <r>
      <rPr>
        <sz val="12"/>
        <color rgb="FF000000"/>
        <rFont val="Arial"/>
        <family val="2"/>
      </rPr>
      <t>Deferred tax liabilities</t>
    </r>
  </si>
  <si>
    <r>
      <rPr>
        <sz val="12"/>
        <color rgb="FF000000"/>
        <rFont val="Arial"/>
        <family val="2"/>
      </rPr>
      <t>Non-current provisions</t>
    </r>
  </si>
  <si>
    <r>
      <rPr>
        <sz val="12"/>
        <color rgb="FF000000"/>
        <rFont val="Arial"/>
        <family val="2"/>
      </rPr>
      <t>Non-current liabilities</t>
    </r>
  </si>
  <si>
    <r>
      <rPr>
        <sz val="12"/>
        <color rgb="FF000000"/>
        <rFont val="Arial"/>
        <family val="2"/>
      </rPr>
      <t>Current provisions</t>
    </r>
  </si>
  <si>
    <t>Current liabilities</t>
  </si>
  <si>
    <r>
      <rPr>
        <b/>
        <sz val="12"/>
        <color rgb="FF000000"/>
        <rFont val="Arial"/>
        <family val="2"/>
      </rPr>
      <t>Total equity and liabilities</t>
    </r>
  </si>
  <si>
    <r>
      <rPr>
        <sz val="12"/>
        <color rgb="FF000000"/>
        <rFont val="Arial"/>
        <family val="2"/>
      </rPr>
      <t>Fixed assets, excluding financial fixed assets</t>
    </r>
  </si>
  <si>
    <r>
      <rPr>
        <sz val="12"/>
        <color rgb="FF000000"/>
        <rFont val="Arial"/>
        <family val="2"/>
      </rPr>
      <t>Trade accounts receivable</t>
    </r>
  </si>
  <si>
    <r>
      <rPr>
        <sz val="12"/>
        <color rgb="FF000000"/>
        <rFont val="Arial"/>
        <family val="2"/>
      </rPr>
      <t>Other receivables and assets</t>
    </r>
  </si>
  <si>
    <r>
      <rPr>
        <b/>
        <sz val="12"/>
        <color rgb="FF000000"/>
        <rFont val="Arial"/>
        <family val="2"/>
      </rPr>
      <t>Capital employed as at the reporting date – operating</t>
    </r>
  </si>
  <si>
    <r>
      <rPr>
        <sz val="12"/>
        <color rgb="FF000000"/>
        <rFont val="Arial"/>
        <family val="2"/>
      </rPr>
      <t>Earnings before taxes (EBT)</t>
    </r>
  </si>
  <si>
    <r>
      <rPr>
        <sz val="12"/>
        <color rgb="FF000000"/>
        <rFont val="Arial"/>
        <family val="2"/>
      </rPr>
      <t>Financial result</t>
    </r>
  </si>
  <si>
    <r>
      <rPr>
        <sz val="12"/>
        <color rgb="FF000000"/>
        <rFont val="Arial"/>
        <family val="2"/>
      </rPr>
      <t>Investments accounted for using the equity method</t>
    </r>
  </si>
  <si>
    <r>
      <rPr>
        <b/>
        <sz val="12"/>
        <color rgb="FF000000"/>
        <rFont val="Arial"/>
        <family val="2"/>
      </rPr>
      <t>Earnings before interest and taxes (EBIT) – adjusted</t>
    </r>
  </si>
  <si>
    <r>
      <rPr>
        <b/>
        <sz val="12"/>
        <color rgb="FF000000"/>
        <rFont val="Arial"/>
        <family val="2"/>
      </rPr>
      <t>Return on capital employed (operating ROCE)</t>
    </r>
  </si>
  <si>
    <t>Debt coverage = net financial position¹/EBITDA</t>
  </si>
  <si>
    <r>
      <rPr>
        <b/>
        <sz val="16"/>
        <color rgb="FF000000"/>
        <rFont val="Arial"/>
        <family val="2"/>
      </rPr>
      <t>Cash flow statement of the Group</t>
    </r>
  </si>
  <si>
    <t>12M
2024/25</t>
  </si>
  <si>
    <t>12M
2023/24</t>
  </si>
  <si>
    <r>
      <rPr>
        <sz val="12"/>
        <color rgb="FF000000"/>
        <rFont val="Arial"/>
        <family val="2"/>
      </rPr>
      <t>Cash inflow from operating  activities (net cash flow)</t>
    </r>
  </si>
  <si>
    <r>
      <rPr>
        <sz val="12"/>
        <color rgb="FF000000"/>
        <rFont val="Arial"/>
        <family val="2"/>
      </rPr>
      <t>Cash outflow from investment activities</t>
    </r>
  </si>
  <si>
    <r>
      <rPr>
        <sz val="12"/>
        <color rgb="FF000000"/>
        <rFont val="Arial"/>
        <family val="2"/>
      </rPr>
      <t>Interest paid</t>
    </r>
  </si>
  <si>
    <r>
      <rPr>
        <sz val="12"/>
        <color rgb="FF000000"/>
        <rFont val="Arial"/>
        <family val="2"/>
      </rPr>
      <t>Dividends paid</t>
    </r>
  </si>
  <si>
    <r>
      <rPr>
        <b/>
        <sz val="12"/>
        <color rgb="FF000000"/>
        <rFont val="Arial"/>
        <family val="2"/>
      </rPr>
      <t>Free cash flow</t>
    </r>
  </si>
  <si>
    <r>
      <rPr>
        <sz val="12"/>
        <color rgb="FF000000"/>
        <rFont val="Arial"/>
        <family val="2"/>
      </rPr>
      <t>Payments/proceeds deriving from financial liabilities (net)</t>
    </r>
  </si>
  <si>
    <r>
      <rPr>
        <b/>
        <sz val="12"/>
        <color rgb="FF000000"/>
        <rFont val="Arial"/>
        <family val="2"/>
      </rPr>
      <t>Net change in cash and cash equivalents</t>
    </r>
  </si>
  <si>
    <r>
      <rPr>
        <b/>
        <sz val="12"/>
        <color rgb="FF000000"/>
        <rFont val="Arial"/>
        <family val="2"/>
      </rPr>
      <t>Cash and cash equivalents as at the reporting date</t>
    </r>
  </si>
  <si>
    <r>
      <rPr>
        <sz val="12"/>
        <color rgb="FF1D1D1D"/>
        <rFont val="Arial"/>
        <family val="2"/>
      </rPr>
      <t>Borrowings</t>
    </r>
  </si>
  <si>
    <r>
      <rPr>
        <b/>
        <sz val="12"/>
        <color rgb="FF000000"/>
        <rFont val="Arial"/>
        <family val="2"/>
      </rPr>
      <t>Net financial position</t>
    </r>
  </si>
  <si>
    <t>2024/25
operating</t>
  </si>
  <si>
    <t>2023/24
operating</t>
  </si>
  <si>
    <t>Total revenues</t>
  </si>
  <si>
    <t>Operating EBITDA</t>
  </si>
  <si>
    <t>Depreciation and amortization</t>
  </si>
  <si>
    <t>Operating EBIT</t>
  </si>
  <si>
    <t>Capital expenditure</t>
  </si>
  <si>
    <t>Capital employed</t>
  </si>
  <si>
    <t>Number of employees (average)</t>
  </si>
  <si>
    <r>
      <rPr>
        <sz val="12"/>
        <color rgb="FF000000"/>
        <rFont val="Arial"/>
        <family val="2"/>
      </rPr>
      <t>Operating EBT</t>
    </r>
    <r>
      <rPr>
        <vertAlign val="superscript"/>
        <sz val="12"/>
        <color rgb="FF000000"/>
        <rFont val="Arial"/>
        <family val="2"/>
      </rPr>
      <t>1</t>
    </r>
  </si>
  <si>
    <r>
      <rPr>
        <vertAlign val="superscript"/>
        <sz val="10"/>
        <color rgb="FF000000"/>
        <rFont val="Arial"/>
        <family val="2"/>
      </rPr>
      <t>1</t>
    </r>
    <r>
      <rPr>
        <sz val="10"/>
        <color rgb="FF000000"/>
        <rFont val="Arial"/>
        <family val="2"/>
      </rPr>
      <t xml:space="preserve"> Prior-year figures have been adjusted.</t>
    </r>
  </si>
  <si>
    <t>Gold</t>
  </si>
  <si>
    <t>t</t>
  </si>
  <si>
    <t>Silver</t>
  </si>
  <si>
    <t>Lead</t>
  </si>
  <si>
    <t>Nickel</t>
  </si>
  <si>
    <t>Tin</t>
  </si>
  <si>
    <t>Zinc</t>
  </si>
  <si>
    <t>Platinum group metals (PGMs)</t>
  </si>
  <si>
    <t>kg</t>
  </si>
  <si>
    <t>Changes in inventories/own work capitalized</t>
  </si>
  <si>
    <t>Depreciation of property, plant and equipment and amortization of intangible assets</t>
  </si>
  <si>
    <t>Result from normal business activities (EBT)</t>
  </si>
  <si>
    <t>Taxes</t>
  </si>
  <si>
    <t>Net income for the year</t>
  </si>
  <si>
    <t>Receivables, etc.</t>
  </si>
  <si>
    <t>Provisions</t>
  </si>
  <si>
    <t>&gt;1</t>
  </si>
  <si>
    <t>&gt;5</t>
  </si>
  <si>
    <t>&gt;20</t>
  </si>
  <si>
    <t>&gt;50</t>
  </si>
  <si>
    <t>Likelihood</t>
  </si>
  <si>
    <t>high</t>
  </si>
  <si>
    <t>medium</t>
  </si>
  <si>
    <t>low</t>
  </si>
  <si>
    <t>unlikely</t>
  </si>
  <si>
    <r>
      <rPr>
        <b/>
        <sz val="16"/>
        <color rgb="FF000000"/>
        <rFont val="Arial"/>
        <family val="2"/>
      </rPr>
      <t>Overview of key performance indicators in line with the EU Taxonomy</t>
    </r>
  </si>
  <si>
    <t>Economic activities</t>
  </si>
  <si>
    <t>EUT turnover</t>
  </si>
  <si>
    <t>EUT CapEx</t>
  </si>
  <si>
    <t>EUT OpEx</t>
  </si>
  <si>
    <t>in € thousand</t>
  </si>
  <si>
    <t>A Taxonomy-eligible activities</t>
  </si>
  <si>
    <t>A.1 Environmentally sustainable activities (taxonomy aligned)</t>
  </si>
  <si>
    <t>KPI environmentally sustainable activities (taxonomy aligned) (A.1)</t>
  </si>
  <si>
    <t>A.2 Taxonomy-eligible, but not environmentally sustainable activities (taxonomy non-aligned activities)</t>
  </si>
  <si>
    <t>KPI taxonomy-eligible, but not environmentally sustainable activities (taxonomy non-aligned activities) (A.2)</t>
  </si>
  <si>
    <t>Total (A.1 + A.2)</t>
  </si>
  <si>
    <t>B Taxonomy non-eligible activities</t>
  </si>
  <si>
    <t>KPI taxonomy non-eligible activities (B)</t>
  </si>
  <si>
    <t>Total (A+B)</t>
  </si>
  <si>
    <r>
      <rPr>
        <b/>
        <sz val="16"/>
        <color rgb="FF000000"/>
        <rFont val="Arial"/>
        <family val="2"/>
      </rPr>
      <t>Energy consumption and mix</t>
    </r>
  </si>
  <si>
    <t>Energy consumption from non-renewable sources</t>
  </si>
  <si>
    <t>Unit</t>
  </si>
  <si>
    <t>(1) Fuel consumption from coal and coal products</t>
  </si>
  <si>
    <t>MWh</t>
  </si>
  <si>
    <t>(2) Fuel consumption from crude oil and petroleum products</t>
  </si>
  <si>
    <t>(3) Fuel consumption from natural gas</t>
  </si>
  <si>
    <t>(4) Fuel consumption from other fossil sources</t>
  </si>
  <si>
    <t>(5) Consumption of purchased or acquired electricity, heat, steam, and cooling from fossil sources</t>
  </si>
  <si>
    <t>(6) Total fossil energy consumption (calculated as the sum of lines 1 to 5)</t>
  </si>
  <si>
    <t>Share of fossil sources in total energy consumption</t>
  </si>
  <si>
    <t>%</t>
  </si>
  <si>
    <t>(7) Consumption from nuclear sources</t>
  </si>
  <si>
    <t>Share of consumption from nuclear sources in total energy consumption</t>
  </si>
  <si>
    <t>Energy consumption from renewable sources</t>
  </si>
  <si>
    <r>
      <rPr>
        <sz val="12"/>
        <color rgb="FF1D1D1D"/>
        <rFont val="Arial"/>
        <family val="2"/>
      </rPr>
      <t>(8) Fuel consumption for renewable sources</t>
    </r>
    <r>
      <rPr>
        <vertAlign val="superscript"/>
        <sz val="12"/>
        <color rgb="FF1D1D1D"/>
        <rFont val="Arial"/>
        <family val="2"/>
      </rPr>
      <t>1</t>
    </r>
  </si>
  <si>
    <t>(9) Consumption of purchased or acquired electricity, heat, steam, and cooling from renewable sources</t>
  </si>
  <si>
    <t>(10) The consumption of self-generated non-fuel renewable energy</t>
  </si>
  <si>
    <t>(11) Total renewable energy consumption (calculated as the sum of 
lines 8 to 10)</t>
  </si>
  <si>
    <t>Share of renewable sources in total energy consumption</t>
  </si>
  <si>
    <t>Total energy consumption (calculated as the sum of lines 6, 7 and 11)</t>
  </si>
  <si>
    <t>in MWh per € million</t>
  </si>
  <si>
    <t>Total energy consumption per net revenue</t>
  </si>
  <si>
    <r>
      <rPr>
        <b/>
        <sz val="16"/>
        <color rgb="FF000000"/>
        <rFont val="Arial"/>
        <family val="2"/>
      </rPr>
      <t>Renewable and non-renewable energy production</t>
    </r>
  </si>
  <si>
    <t>in MWh</t>
  </si>
  <si>
    <r>
      <rPr>
        <b/>
        <sz val="12"/>
        <color rgb="FF0076A7"/>
        <rFont val="Arial"/>
        <family val="2"/>
      </rPr>
      <t xml:space="preserve">2024/25 </t>
    </r>
  </si>
  <si>
    <t>Non-renewable energy production</t>
  </si>
  <si>
    <t>Renewable energy production</t>
  </si>
  <si>
    <r>
      <rPr>
        <b/>
        <sz val="16"/>
        <color rgb="FF000000"/>
        <rFont val="Arial"/>
        <family val="2"/>
      </rPr>
      <t>Total GHG emissions by Scope 1, Scope 2</t>
    </r>
    <r>
      <rPr>
        <b/>
        <sz val="16"/>
        <color rgb="FF000000"/>
        <rFont val="Arial"/>
        <family val="2"/>
      </rPr>
      <t xml:space="preserve"> and significant</t>
    </r>
    <r>
      <rPr>
        <b/>
        <sz val="16"/>
        <color rgb="FF000000"/>
        <rFont val="Arial"/>
        <family val="2"/>
      </rPr>
      <t xml:space="preserve"> Scope 3 emissions (as per E1-6 AR 48)</t>
    </r>
  </si>
  <si>
    <t>Retrospective</t>
  </si>
  <si>
    <t>Milestones and target years</t>
  </si>
  <si>
    <r>
      <rPr>
        <sz val="12"/>
        <color rgb="FF000000"/>
        <rFont val="Arial"/>
        <family val="2"/>
      </rPr>
      <t>Unit</t>
    </r>
  </si>
  <si>
    <t>Base year</t>
  </si>
  <si>
    <t>2025</t>
  </si>
  <si>
    <t>2030</t>
  </si>
  <si>
    <t>2050</t>
  </si>
  <si>
    <t>Annual % of target / base year</t>
  </si>
  <si>
    <t>Scope 1 GHG emissions</t>
  </si>
  <si>
    <t>Gross Scope 1 GHG emissions</t>
  </si>
  <si>
    <r>
      <rPr>
        <sz val="12"/>
        <color rgb="FF000000"/>
        <rFont val="Arial"/>
        <family val="2"/>
      </rPr>
      <t>1,000 t CO</t>
    </r>
    <r>
      <rPr>
        <vertAlign val="subscript"/>
        <sz val="12"/>
        <color rgb="FF000000"/>
        <rFont val="Arial"/>
        <family val="2"/>
      </rPr>
      <t>2</t>
    </r>
    <r>
      <rPr>
        <sz val="12"/>
        <color rgb="FF000000"/>
        <rFont val="Arial"/>
        <family val="2"/>
      </rPr>
      <t>eq</t>
    </r>
  </si>
  <si>
    <t>-</t>
  </si>
  <si>
    <t>Percentage of Scope 1 GHG emissions from regulated emission trading schemes</t>
  </si>
  <si>
    <t>Scope 2 GHG emissions</t>
  </si>
  <si>
    <t>Gross location-based Scope 2 GHG emissions</t>
  </si>
  <si>
    <t>Gross market-based Scope 2 GHG emissions</t>
  </si>
  <si>
    <r>
      <rPr>
        <b/>
        <sz val="12"/>
        <color rgb="FF000000"/>
        <rFont val="Arial"/>
        <family val="2"/>
      </rPr>
      <t>Absolute Scope 1 and Scope 2 emissions (Total)</t>
    </r>
    <r>
      <rPr>
        <b/>
        <vertAlign val="superscript"/>
        <sz val="12"/>
        <color rgb="FF000000"/>
        <rFont val="Arial"/>
        <family val="2"/>
      </rPr>
      <t>1</t>
    </r>
  </si>
  <si>
    <t>Significant scope 3 GHG emissions</t>
  </si>
  <si>
    <t>Total Gross indirect (Scope 3) GHG emissions</t>
  </si>
  <si>
    <t>1 Purchased goods and services</t>
  </si>
  <si>
    <t>2 Capital goods</t>
  </si>
  <si>
    <t>3 Fuel and energy-related activities</t>
  </si>
  <si>
    <t>4 Upstream transportation and distribution</t>
  </si>
  <si>
    <t>5 Waste generated in operations</t>
  </si>
  <si>
    <t>6 Business traveling</t>
  </si>
  <si>
    <t>7 Employee commuting</t>
  </si>
  <si>
    <t>9 Downstream transportation</t>
  </si>
  <si>
    <t>15 Investments</t>
  </si>
  <si>
    <r>
      <rPr>
        <sz val="12"/>
        <color rgb="FF000000"/>
        <rFont val="Arial"/>
        <family val="2"/>
      </rPr>
      <t>CO</t>
    </r>
    <r>
      <rPr>
        <vertAlign val="subscript"/>
        <sz val="12"/>
        <color rgb="FF000000"/>
        <rFont val="Arial"/>
        <family val="2"/>
      </rPr>
      <t>2</t>
    </r>
    <r>
      <rPr>
        <sz val="12"/>
        <color rgb="FF000000"/>
        <rFont val="Arial"/>
        <family val="2"/>
      </rPr>
      <t xml:space="preserve"> / copper cathode</t>
    </r>
  </si>
  <si>
    <t>Total GHG emissions</t>
  </si>
  <si>
    <t>Total GHG emissions (location based)</t>
  </si>
  <si>
    <t>Total GHG emissions (market based)</t>
  </si>
  <si>
    <r>
      <rPr>
        <b/>
        <sz val="12"/>
        <color rgb="FF000000"/>
        <rFont val="Arial"/>
        <family val="2"/>
      </rPr>
      <t>GHG intensity per net revenue</t>
    </r>
    <r>
      <rPr>
        <b/>
        <vertAlign val="superscript"/>
        <sz val="12"/>
        <color rgb="FF000000"/>
        <rFont val="Arial"/>
        <family val="2"/>
      </rPr>
      <t>3</t>
    </r>
  </si>
  <si>
    <t xml:space="preserve">Total GHG emissions (location-based) per net revenue </t>
  </si>
  <si>
    <r>
      <rPr>
        <sz val="12"/>
        <color rgb="FF000000"/>
        <rFont val="Arial"/>
        <family val="2"/>
      </rPr>
      <t>t CO</t>
    </r>
    <r>
      <rPr>
        <vertAlign val="subscript"/>
        <sz val="12"/>
        <color rgb="FF000000"/>
        <rFont val="Arial"/>
        <family val="2"/>
      </rPr>
      <t>2</t>
    </r>
    <r>
      <rPr>
        <sz val="12"/>
        <color rgb="FF000000"/>
        <rFont val="Arial"/>
        <family val="2"/>
      </rPr>
      <t>eq/€</t>
    </r>
  </si>
  <si>
    <t>Total GHG emissions (market-based) per net revenue</t>
  </si>
  <si>
    <r>
      <rPr>
        <vertAlign val="superscript"/>
        <sz val="10"/>
        <color rgb="FF1D1D1D"/>
        <rFont val="Arial"/>
        <family val="2"/>
      </rPr>
      <t xml:space="preserve">1 </t>
    </r>
    <r>
      <rPr>
        <sz val="10"/>
        <color rgb="FF1D1D1D"/>
        <rFont val="Arial"/>
        <family val="2"/>
      </rPr>
      <t xml:space="preserve">Progress towards achieving the target is presented in more detail on a calendar-year basis in E1-4.
</t>
    </r>
    <r>
      <rPr>
        <vertAlign val="superscript"/>
        <sz val="10"/>
        <color rgb="FF1D1D1D"/>
        <rFont val="Arial"/>
        <family val="2"/>
      </rPr>
      <t>2</t>
    </r>
    <r>
      <rPr>
        <sz val="10"/>
        <color rgb="FF1D1D1D"/>
        <rFont val="Arial"/>
        <family val="2"/>
      </rPr>
      <t xml:space="preserve"> Refers to internally produced copper cathodes.
</t>
    </r>
    <r>
      <rPr>
        <vertAlign val="superscript"/>
        <sz val="10"/>
        <color rgb="FF1D1D1D"/>
        <rFont val="Arial"/>
        <family val="2"/>
      </rPr>
      <t xml:space="preserve">3 </t>
    </r>
    <r>
      <rPr>
        <sz val="10"/>
        <color rgb="FF1D1D1D"/>
        <rFont val="Arial"/>
        <family val="2"/>
      </rPr>
      <t>The calculation of GHG intensity per net revenue is subject to the same assumptions as the energy intensity per net revenue, as detailed in E1-5.</t>
    </r>
  </si>
  <si>
    <t>in kg</t>
  </si>
  <si>
    <r>
      <rPr>
        <sz val="12"/>
        <color rgb="FF1D1D1D"/>
        <rFont val="Arial"/>
        <family val="2"/>
      </rPr>
      <t>SO</t>
    </r>
    <r>
      <rPr>
        <vertAlign val="subscript"/>
        <sz val="12"/>
        <color rgb="FF1D1D1D"/>
        <rFont val="Arial"/>
        <family val="2"/>
      </rPr>
      <t>X</t>
    </r>
  </si>
  <si>
    <t>CO</t>
  </si>
  <si>
    <r>
      <rPr>
        <sz val="12"/>
        <color rgb="FF1D1D1D"/>
        <rFont val="Arial"/>
        <family val="2"/>
      </rPr>
      <t>NO</t>
    </r>
    <r>
      <rPr>
        <vertAlign val="subscript"/>
        <sz val="12"/>
        <color rgb="FF1D1D1D"/>
        <rFont val="Arial"/>
        <family val="2"/>
      </rPr>
      <t>X</t>
    </r>
  </si>
  <si>
    <t>Benzene</t>
  </si>
  <si>
    <t>Hg</t>
  </si>
  <si>
    <t>Zn</t>
  </si>
  <si>
    <t>Pb</t>
  </si>
  <si>
    <t>Cu</t>
  </si>
  <si>
    <t>Cd</t>
  </si>
  <si>
    <t>As</t>
  </si>
  <si>
    <t>Ni</t>
  </si>
  <si>
    <r>
      <rPr>
        <b/>
        <sz val="16"/>
        <color rgb="FF000000"/>
        <rFont val="Arial"/>
        <family val="2"/>
      </rPr>
      <t>Allocation of resource inflows</t>
    </r>
    <r>
      <rPr>
        <b/>
        <vertAlign val="superscript"/>
        <sz val="16"/>
        <color rgb="FF000000"/>
        <rFont val="Arial"/>
        <family val="2"/>
      </rPr>
      <t>1</t>
    </r>
  </si>
  <si>
    <t>Total weight of metal-containing inflows (throughput, in dmt)</t>
  </si>
  <si>
    <t>Primary</t>
  </si>
  <si>
    <t>Secondary</t>
  </si>
  <si>
    <t>Copper cathodes</t>
  </si>
  <si>
    <t>Aurubis Rod (continuous cast wire rod)</t>
  </si>
  <si>
    <t>Aurubis FOXROD (oxygen-free copper wire)</t>
  </si>
  <si>
    <t>Aurubis SHAPES (continuous cast shapes)</t>
  </si>
  <si>
    <t>Aurubis BARS &amp; PROFILES (bars &amp; profiles)</t>
  </si>
  <si>
    <t>Nickel from nickel sulfate</t>
  </si>
  <si>
    <t>Platinum group (PGM) — platinum and palladium</t>
  </si>
  <si>
    <t>Country</t>
  </si>
  <si>
    <r>
      <rPr>
        <b/>
        <sz val="12"/>
        <color rgb="FF0076A7"/>
        <rFont val="Arial"/>
        <family val="2"/>
      </rPr>
      <t xml:space="preserve">Number of employees 
</t>
    </r>
    <r>
      <rPr>
        <b/>
        <sz val="12"/>
        <color rgb="FF0076A7"/>
        <rFont val="Arial"/>
        <family val="2"/>
      </rPr>
      <t>(head count)</t>
    </r>
  </si>
  <si>
    <t>Bulgaria</t>
  </si>
  <si>
    <t>Belgium</t>
  </si>
  <si>
    <r>
      <rPr>
        <sz val="12"/>
        <color rgb="FF1D1D1D"/>
        <rFont val="Arial"/>
        <family val="2"/>
      </rPr>
      <t>Other</t>
    </r>
    <r>
      <rPr>
        <vertAlign val="superscript"/>
        <sz val="12"/>
        <color rgb="FF1D1D1D"/>
        <rFont val="Arial"/>
        <family val="2"/>
      </rPr>
      <t>1</t>
    </r>
  </si>
  <si>
    <t>N/A</t>
  </si>
  <si>
    <t>Not Reported</t>
  </si>
  <si>
    <t>Total Employees</t>
  </si>
  <si>
    <r>
      <rPr>
        <vertAlign val="superscript"/>
        <sz val="10"/>
        <color rgb="FF1D1D1D"/>
        <rFont val="Arial"/>
        <family val="2"/>
      </rPr>
      <t xml:space="preserve">1 </t>
    </r>
    <r>
      <rPr>
        <sz val="10"/>
        <color rgb="FF1D1D1D"/>
        <rFont val="Arial"/>
        <family val="2"/>
      </rPr>
      <t>We currently do not record a third gender in the Group globally. We will review the relevance of the category for future external reporting.</t>
    </r>
  </si>
  <si>
    <r>
      <rPr>
        <b/>
        <sz val="16"/>
        <color rgb="FF000000"/>
        <rFont val="Arial"/>
        <family val="2"/>
      </rPr>
      <t>Number of employees by contract type,</t>
    </r>
    <r>
      <rPr>
        <b/>
        <vertAlign val="superscript"/>
        <sz val="16"/>
        <color rgb="FF000000"/>
        <rFont val="Arial"/>
        <family val="2"/>
      </rPr>
      <t xml:space="preserve">1 </t>
    </r>
    <r>
      <rPr>
        <b/>
        <sz val="16"/>
        <color rgb="FF000000"/>
        <rFont val="Arial"/>
        <family val="2"/>
      </rPr>
      <t>broken down by gender</t>
    </r>
    <r>
      <rPr>
        <b/>
        <vertAlign val="superscript"/>
        <sz val="16"/>
        <color rgb="FF000000"/>
        <rFont val="Arial"/>
        <family val="2"/>
      </rPr>
      <t>2</t>
    </r>
  </si>
  <si>
    <t>FY 2024/25</t>
  </si>
  <si>
    <r>
      <rPr>
        <b/>
        <sz val="12"/>
        <color rgb="FF0076A7"/>
        <rFont val="Arial"/>
        <family val="2"/>
      </rPr>
      <t>Other</t>
    </r>
    <r>
      <rPr>
        <b/>
        <vertAlign val="superscript"/>
        <sz val="12"/>
        <color rgb="FF0076A7"/>
        <rFont val="Arial"/>
        <family val="2"/>
      </rPr>
      <t>2</t>
    </r>
  </si>
  <si>
    <t>Not disclosed</t>
  </si>
  <si>
    <t>Total</t>
  </si>
  <si>
    <t>Number of permanent employees (head count)</t>
  </si>
  <si>
    <t>Number of temporary employees (head count)</t>
  </si>
  <si>
    <r>
      <rPr>
        <vertAlign val="superscript"/>
        <sz val="10"/>
        <color rgb="FF1D1D1D"/>
        <rFont val="Arial"/>
        <family val="2"/>
      </rPr>
      <t xml:space="preserve">1 </t>
    </r>
    <r>
      <rPr>
        <sz val="10"/>
        <color rgb="FF1D1D1D"/>
        <rFont val="Arial"/>
        <family val="2"/>
      </rPr>
      <t>Aurubis only hires employees with guaranteed working hours.</t>
    </r>
  </si>
  <si>
    <r>
      <rPr>
        <vertAlign val="superscript"/>
        <sz val="10"/>
        <color rgb="FF1D1D1D"/>
        <rFont val="Arial"/>
        <family val="2"/>
      </rPr>
      <t xml:space="preserve">2 </t>
    </r>
    <r>
      <rPr>
        <sz val="10"/>
        <color rgb="FF1D1D1D"/>
        <rFont val="Arial"/>
        <family val="2"/>
      </rPr>
      <t>We currently do not record a third gender in the Group globally. We will review the relevance of the category for future external reporting.</t>
    </r>
  </si>
  <si>
    <t>Collective bargaining coverage</t>
  </si>
  <si>
    <t>Social Dialogue</t>
  </si>
  <si>
    <t>Coverage Rate</t>
  </si>
  <si>
    <t>Employees — EEA</t>
  </si>
  <si>
    <t>Employees — Non-EEA</t>
  </si>
  <si>
    <t>Workplace representation 
(EEA only)</t>
  </si>
  <si>
    <t>0–19 %</t>
  </si>
  <si>
    <t>USA</t>
  </si>
  <si>
    <t>20–39 %</t>
  </si>
  <si>
    <t>40–59 %</t>
  </si>
  <si>
    <t>Italy</t>
  </si>
  <si>
    <t>60–79 %</t>
  </si>
  <si>
    <t>80–100 %</t>
  </si>
  <si>
    <t>Germany, Bulgaria, Italy, Belgium, Spain, Finland</t>
  </si>
  <si>
    <t>Belgium, Germany, Finland, Spain</t>
  </si>
  <si>
    <t>Number of employees</t>
  </si>
  <si>
    <t>Percentage of employees</t>
  </si>
  <si>
    <t>Not reported</t>
  </si>
  <si>
    <t>Age</t>
  </si>
  <si>
    <t>&lt;30</t>
  </si>
  <si>
    <t>30 to 50</t>
  </si>
  <si>
    <t>Average number of training hours per employee</t>
  </si>
  <si>
    <r>
      <rPr>
        <vertAlign val="superscript"/>
        <sz val="10"/>
        <color rgb="FF1D1D1D"/>
        <rFont val="Arial"/>
        <family val="2"/>
      </rPr>
      <t xml:space="preserve">1 </t>
    </r>
    <r>
      <rPr>
        <sz val="10"/>
        <color rgb="FF1D1D1D"/>
        <rFont val="Arial"/>
        <family val="2"/>
      </rPr>
      <t>We currently do not record a third gender in the Group globally. We will review the relevance of the matter for future external reporting.</t>
    </r>
  </si>
  <si>
    <r>
      <rPr>
        <b/>
        <sz val="12"/>
        <color rgb="FF1D1D1D"/>
        <rFont val="Arial"/>
        <family val="2"/>
      </rPr>
      <t>The number of fatalities as a result of work-related injuries and work-related ill health</t>
    </r>
    <r>
      <rPr>
        <b/>
        <vertAlign val="superscript"/>
        <sz val="12"/>
        <color rgb="FF1D1D1D"/>
        <rFont val="Arial"/>
        <family val="2"/>
      </rPr>
      <t>1</t>
    </r>
  </si>
  <si>
    <t>of which fatalities of temporary workers and employees of external companies</t>
  </si>
  <si>
    <r>
      <rPr>
        <b/>
        <sz val="12"/>
        <color rgb="FF1D1D1D"/>
        <rFont val="Arial"/>
        <family val="2"/>
      </rPr>
      <t>Number of recordable work-related accidents</t>
    </r>
    <r>
      <rPr>
        <b/>
        <vertAlign val="superscript"/>
        <sz val="12"/>
        <color rgb="FF1D1D1D"/>
        <rFont val="Arial"/>
        <family val="2"/>
      </rPr>
      <t>2</t>
    </r>
  </si>
  <si>
    <t>of which recordable work-related accidents of own workforce</t>
  </si>
  <si>
    <t>of which recordable work-related accidents of temporary workers and employees of external companies</t>
  </si>
  <si>
    <r>
      <rPr>
        <b/>
        <sz val="12"/>
        <color rgb="FF1D1D1D"/>
        <rFont val="Arial"/>
        <family val="2"/>
      </rPr>
      <t>Rate of recordable work-related accidents</t>
    </r>
    <r>
      <rPr>
        <b/>
        <vertAlign val="superscript"/>
        <sz val="12"/>
        <color rgb="FF1D1D1D"/>
        <rFont val="Arial"/>
        <family val="2"/>
      </rPr>
      <t>3</t>
    </r>
  </si>
  <si>
    <t>Rate of recordable work-related accidents of own workforce</t>
  </si>
  <si>
    <t>Rate of recordable work-related accidents of temporary workers and employees of external companies</t>
  </si>
  <si>
    <r>
      <rPr>
        <vertAlign val="superscript"/>
        <sz val="10"/>
        <color rgb="FF1D1D1D"/>
        <rFont val="Arial"/>
        <family val="2"/>
      </rPr>
      <t>2</t>
    </r>
    <r>
      <rPr>
        <sz val="10"/>
        <color rgb="FF1D1D1D"/>
        <rFont val="Arial"/>
        <family val="2"/>
      </rPr>
      <t xml:space="preserve"> Recordable work-related accidents within the meaning of the ESRS include all work-related incidents that lead to injury or illness and require medical treatment beyond first aid and/or absence from work. The German definition of “recordable accidents/incidents” (accidents with personal injury and more than three lost work shifts) differs from the international definition of “recordable incidents/accidents” and as such cannot be directly compared.</t>
    </r>
  </si>
  <si>
    <r>
      <rPr>
        <vertAlign val="superscript"/>
        <sz val="10"/>
        <color rgb="FF1D1D1D"/>
        <rFont val="Arial"/>
        <family val="2"/>
      </rPr>
      <t xml:space="preserve">3  </t>
    </r>
    <r>
      <rPr>
        <sz val="10"/>
        <color rgb="FF1D1D1D"/>
        <rFont val="Arial"/>
        <family val="2"/>
      </rPr>
      <t>Recordable accidents per 1 million hours worked.</t>
    </r>
  </si>
  <si>
    <t>The total number of incidents of discrimination, including harassment</t>
  </si>
  <si>
    <r>
      <rPr>
        <sz val="12"/>
        <color rgb="FF1D1D1D"/>
        <rFont val="Arial"/>
        <family val="2"/>
      </rPr>
      <t>Number of complaints filed through channels for people in own workforce to raise concerns (excluding discrimination)</t>
    </r>
    <r>
      <rPr>
        <vertAlign val="superscript"/>
        <sz val="12"/>
        <color rgb="FF1D1D1D"/>
        <rFont val="Arial"/>
        <family val="2"/>
      </rPr>
      <t>1</t>
    </r>
  </si>
  <si>
    <r>
      <rPr>
        <sz val="12"/>
        <color rgb="FF1D1D1D"/>
        <rFont val="Arial"/>
        <family val="2"/>
      </rPr>
      <t>The number of severe human rights incidents connected to the undertaking’s workforce, such as forced labor, human trafficking or child labor</t>
    </r>
    <r>
      <rPr>
        <vertAlign val="superscript"/>
        <sz val="12"/>
        <color rgb="FF1D1D1D"/>
        <rFont val="Arial"/>
        <family val="2"/>
      </rPr>
      <t>1</t>
    </r>
  </si>
  <si>
    <t>Substantial Contribution Criteria</t>
  </si>
  <si>
    <t>DNSH criteria ("Does Not Significantly Harm")</t>
  </si>
  <si>
    <t>Economic Activities</t>
  </si>
  <si>
    <t>Code</t>
  </si>
  <si>
    <t>Turnover</t>
  </si>
  <si>
    <t>Proportion of turnover, FY  2024/25</t>
  </si>
  <si>
    <t>Climate change mitigation</t>
  </si>
  <si>
    <t>Climate change adaptation</t>
  </si>
  <si>
    <t>Water</t>
  </si>
  <si>
    <t>Pollution</t>
  </si>
  <si>
    <t>Circular economy</t>
  </si>
  <si>
    <t>Biodiversity</t>
  </si>
  <si>
    <t>Proportion of taxonomy-aligned (A.1) or eligible (A.2) turnover, FY 2023/24</t>
  </si>
  <si>
    <t>Category enabling activity</t>
  </si>
  <si>
    <t>Category transitional activity</t>
  </si>
  <si>
    <t>in T€</t>
  </si>
  <si>
    <t>Y; N; N/EL</t>
  </si>
  <si>
    <t>Y/N</t>
  </si>
  <si>
    <t>E</t>
  </si>
  <si>
    <t>T</t>
  </si>
  <si>
    <t>A. TAXONOMY-ELIGIBLE ACTIVITIES</t>
  </si>
  <si>
    <t>A.1 Environmentally sustainable activities (taxonomy-aligned)</t>
  </si>
  <si>
    <t>Turnover of environmentally sustainable activities (taxonomy-aligned) (A.1)</t>
  </si>
  <si>
    <t>0</t>
  </si>
  <si>
    <t>Of which enabling</t>
  </si>
  <si>
    <t>Of which transitional</t>
  </si>
  <si>
    <t>A.2 Taxonomy-eligible, but not environmentally sustainable activities (not taxonomy-aligned activities)</t>
  </si>
  <si>
    <t>Turnover of taxonomy-eligible but not environmentally sustainable activities (not taxonomy-aligned activities) (A.2)</t>
  </si>
  <si>
    <t>A. Turnover of taxonomy-eligible activities (A.1 + A.2)</t>
  </si>
  <si>
    <t>B. TAXONOMY-NON-ELIGIBLE ACTIVITIES</t>
  </si>
  <si>
    <t>Turnover of taxonomy-non-eligible activities</t>
  </si>
  <si>
    <t>TOTAL</t>
  </si>
  <si>
    <t>Taxonomy-aligned per target</t>
  </si>
  <si>
    <t>Taxonomy-eligible per target</t>
  </si>
  <si>
    <t>CMM (Climate change mitigation)</t>
  </si>
  <si>
    <t>CCA (Climate change adaptation)</t>
  </si>
  <si>
    <t>WTR (Water and marine resources)</t>
  </si>
  <si>
    <t>CE (Circular economy)</t>
  </si>
  <si>
    <t>PPC (Pollution prevention and control)</t>
  </si>
  <si>
    <t>BIO (Biodiversity)</t>
  </si>
  <si>
    <t>DNSH criteria (do no significant harm)</t>
  </si>
  <si>
    <t>OpEx</t>
  </si>
  <si>
    <t>Proportion of taxonomy-aligned (A.1) or taxonomy-eligible (A.2) OpEx, FY 2023/24</t>
  </si>
  <si>
    <t>OpEx of environmentally sustainable activities (taxonomy-aligned) (A.1)</t>
  </si>
  <si>
    <t>OpEx of taxonomy-eligible, but not environmentally sustainable activities (not taxonomy-aligned activities) (A.2)</t>
  </si>
  <si>
    <t>A. OpEx of taxonomy-eligible activities (A.1 + A.2)</t>
  </si>
  <si>
    <t>OpEx of taxonomy-non-eligible activities</t>
  </si>
  <si>
    <t>CapEx</t>
  </si>
  <si>
    <t>Proportion of taxonomy-aligned (A.1) or taxonomy-eligible (A.2) CapEx, FY 2023/24</t>
  </si>
  <si>
    <t>Installation, maintenance and repair of energy efficiency equipment</t>
  </si>
  <si>
    <t>CCM 7.3</t>
  </si>
  <si>
    <t>J</t>
  </si>
  <si>
    <t>N/EL</t>
  </si>
  <si>
    <t>Y</t>
  </si>
  <si>
    <t>Installation, maintenance and repair of renewable energy technologies</t>
  </si>
  <si>
    <t>CCM 7.6</t>
  </si>
  <si>
    <t>CapEx of environmentally sustainable activities (taxonomy-aligned) (A.1)</t>
  </si>
  <si>
    <t>Transport by motorbikes, passenger cars and light commercial vehicles</t>
  </si>
  <si>
    <t>CCM 6.5</t>
  </si>
  <si>
    <t>EL</t>
  </si>
  <si>
    <t>Construction of new buildings</t>
  </si>
  <si>
    <t>CCM 7.1</t>
  </si>
  <si>
    <t>Installation, maintenance and repair of charging stations for electric vehicles in buildings (and parking spaces attached to buildings)</t>
  </si>
  <si>
    <t>CCM 7.4</t>
  </si>
  <si>
    <t>Acquisition and ownership of buildings</t>
  </si>
  <si>
    <t>CCM 7.7</t>
  </si>
  <si>
    <t>CapEx of taxonomy-eligible but not environmentally sustainable activities (not taxonomy-aligned activities) (A.2)</t>
  </si>
  <si>
    <t>A. CapEx of taxonomy-eligible activities (A.1 + A.2)</t>
  </si>
  <si>
    <t>CapEx of taxonomy-non-eligible activities</t>
  </si>
  <si>
    <r>
      <rPr>
        <sz val="10"/>
        <color rgb="FF1D1D1D"/>
        <rFont val="Arial"/>
        <family val="2"/>
      </rPr>
      <t>Y — Yes, taxonomy-eligible activity also taxonomy-aligned with the relevant environmental target; N — No, taxonomy-eligible activity but not taxonomy-aligned with the relevant environmental target; N/EL — ‘not eligible’ activity taxonomy non-eligible with the respective environmental target</t>
    </r>
  </si>
  <si>
    <t>Quantitative breakdown</t>
  </si>
  <si>
    <t>Economic activities, in € thousand</t>
  </si>
  <si>
    <r>
      <rPr>
        <sz val="12"/>
        <color rgb="FF000000"/>
        <rFont val="Arial"/>
        <family val="2"/>
      </rPr>
      <t>Turnover</t>
    </r>
    <r>
      <rPr>
        <vertAlign val="superscript"/>
        <sz val="12"/>
        <color rgb="FF000000"/>
        <rFont val="Arial"/>
        <family val="2"/>
      </rPr>
      <t>1</t>
    </r>
  </si>
  <si>
    <t>Turnover from contracts with customers</t>
  </si>
  <si>
    <t>Turnover from leases</t>
  </si>
  <si>
    <t>Other sources of turnover</t>
  </si>
  <si>
    <t>Proportion for own internal consumption</t>
  </si>
  <si>
    <t>Only taxonomy-aligned activities</t>
  </si>
  <si>
    <r>
      <rPr>
        <vertAlign val="superscript"/>
        <sz val="10"/>
        <color rgb="FF1D1D1D"/>
        <rFont val="Arial"/>
        <family val="2"/>
      </rPr>
      <t>1</t>
    </r>
    <r>
      <rPr>
        <sz val="10"/>
        <color rgb="FF1D1D1D"/>
        <rFont val="Arial"/>
        <family val="2"/>
      </rPr>
      <t xml:space="preserve"> There is no taxonomy-aligned turnover in the 2024/25 fiscal year.</t>
    </r>
  </si>
  <si>
    <r>
      <rPr>
        <sz val="12"/>
        <color rgb="FF1D1D1D"/>
        <rFont val="Arial"/>
        <family val="2"/>
      </rPr>
      <t>OpEx</t>
    </r>
    <r>
      <rPr>
        <vertAlign val="superscript"/>
        <sz val="12"/>
        <color rgb="FF1D1D1D"/>
        <rFont val="Arial"/>
        <family val="2"/>
      </rPr>
      <t>1</t>
    </r>
  </si>
  <si>
    <t>R&amp;D expenditures</t>
  </si>
  <si>
    <t>Short-term leases</t>
  </si>
  <si>
    <t>Other direct expenditures</t>
  </si>
  <si>
    <r>
      <rPr>
        <vertAlign val="superscript"/>
        <sz val="10"/>
        <color rgb="FF1D1D1D"/>
        <rFont val="Arial"/>
        <family val="2"/>
      </rPr>
      <t>1</t>
    </r>
    <r>
      <rPr>
        <sz val="10"/>
        <color rgb="FF1D1D1D"/>
        <rFont val="Arial"/>
        <family val="2"/>
      </rPr>
      <t xml:space="preserve"> There is no taxonomy-aligned OpEx in the 2024/25 fiscal year.</t>
    </r>
  </si>
  <si>
    <t>a) Additions to property, plant and equipment, to internally generated intangible assets, including in a business 
combination or acquired, to investment property acquired or recognized in the carrying amount and, where applicable, to capitalized right of-use assets.</t>
  </si>
  <si>
    <t>b) Additions related to acquisitions through business combinations</t>
  </si>
  <si>
    <t>c) Expenses incurred in relation to  Taxonomy-aligned economic activities and expenses as part of a CapEx plan</t>
  </si>
  <si>
    <t>CapEx plan</t>
  </si>
  <si>
    <t>CCM 7.3 Installation, maintenance and repair of energy efficiency equipment</t>
  </si>
  <si>
    <t>CCM 7.6 Installation, maintenance and repair of renewable energy technologies</t>
  </si>
  <si>
    <t>EU Taxonomy activity</t>
  </si>
  <si>
    <t>Description of Aurubis activity</t>
  </si>
  <si>
    <t>7 – Construction and real estate activities</t>
  </si>
  <si>
    <t>Individual renovation measures consisting of the installation, maintenance or repair of energy efficiency equipment</t>
  </si>
  <si>
    <t>Installation of photovoltaic systems for internal energy production, for example at the Pirdop site</t>
  </si>
  <si>
    <t>Line</t>
  </si>
  <si>
    <t>Activities</t>
  </si>
  <si>
    <t>Yes/No</t>
  </si>
  <si>
    <t>Nuclear energy activities</t>
  </si>
  <si>
    <t>The undertaking carries out, funds or has exposures to research, development, demonstration and deployment of innovative electricity generation facilities that produce energy from nuclear processes with minimal waste from the fuel cycle.</t>
  </si>
  <si>
    <t>No</t>
  </si>
  <si>
    <t>The undertaking carries out, funds or has exposures to construction and safe operation of new nuclear installations to produce electricity or process heat, including for the purposes of district heating or industrial processes such as hydrogen production, as well as their safety upgrades, using best available technologies.</t>
  </si>
  <si>
    <t>The undertaking carries out, funds or has exposures to safe operation of existing nuclear installations that produce electricity or process heat, including for the purposes of district heating or industrial processes such as hydrogen production from nuclear energy, as well as their safety upgrades.</t>
  </si>
  <si>
    <t>Fossil gas activities</t>
  </si>
  <si>
    <t>The undertaking carries out, funds or has exposures to construction or operation of electricity generation facilities that produce electricity using fossil gaseous fuels.</t>
  </si>
  <si>
    <t>The undertaking carries out, funds or has exposures to construction, refurbishment, and operation of combined heat/cool and power generation facilities using fossil gaseous fuels.</t>
  </si>
  <si>
    <t>The undertaking carries out, funds or has exposures to construction, refurbishment and operation of heat generation facilities that produce heat/cool using fossil gaseous fuels.</t>
  </si>
  <si>
    <r>
      <rPr>
        <sz val="12"/>
        <color rgb="FF000000"/>
        <rFont val="Arial"/>
        <family val="2"/>
      </rPr>
      <t>Note</t>
    </r>
  </si>
  <si>
    <r>
      <rPr>
        <sz val="12"/>
        <color rgb="FF000000"/>
        <rFont val="Arial"/>
        <family val="2"/>
      </rPr>
      <t>1</t>
    </r>
  </si>
  <si>
    <r>
      <rPr>
        <sz val="12"/>
        <color rgb="FF000000"/>
        <rFont val="Arial"/>
        <family val="2"/>
      </rPr>
      <t>2</t>
    </r>
  </si>
  <si>
    <r>
      <rPr>
        <sz val="12"/>
        <color rgb="FF000000"/>
        <rFont val="Arial"/>
        <family val="2"/>
      </rPr>
      <t>3</t>
    </r>
  </si>
  <si>
    <r>
      <rPr>
        <sz val="12"/>
        <color rgb="FF000000"/>
        <rFont val="Arial"/>
        <family val="2"/>
      </rPr>
      <t>4</t>
    </r>
  </si>
  <si>
    <r>
      <rPr>
        <sz val="12"/>
        <color rgb="FF000000"/>
        <rFont val="Arial"/>
        <family val="2"/>
      </rPr>
      <t>5</t>
    </r>
  </si>
  <si>
    <r>
      <rPr>
        <sz val="12"/>
        <color rgb="FF000000"/>
        <rFont val="Arial"/>
        <family val="2"/>
      </rPr>
      <t> </t>
    </r>
  </si>
  <si>
    <r>
      <rPr>
        <sz val="12"/>
        <color rgb="FF000000"/>
        <rFont val="Arial"/>
        <family val="2"/>
      </rPr>
      <t>6</t>
    </r>
  </si>
  <si>
    <t>Depreciation of property, plant, and equipment and amortization of intangible assets</t>
  </si>
  <si>
    <r>
      <rPr>
        <sz val="12"/>
        <color rgb="FF000000"/>
        <rFont val="Arial"/>
        <family val="2"/>
      </rPr>
      <t>7</t>
    </r>
  </si>
  <si>
    <r>
      <rPr>
        <sz val="12"/>
        <color rgb="FF000000"/>
        <rFont val="Arial"/>
        <family val="2"/>
      </rPr>
      <t>8</t>
    </r>
  </si>
  <si>
    <r>
      <rPr>
        <sz val="12"/>
        <color rgb="FF000000"/>
        <rFont val="Arial"/>
        <family val="2"/>
      </rPr>
      <t>9</t>
    </r>
  </si>
  <si>
    <r>
      <rPr>
        <sz val="12"/>
        <color rgb="FF000000"/>
        <rFont val="Arial"/>
        <family val="2"/>
      </rPr>
      <t>10</t>
    </r>
  </si>
  <si>
    <r>
      <rPr>
        <sz val="12"/>
        <color rgb="FF000000"/>
        <rFont val="Arial"/>
        <family val="2"/>
      </rPr>
      <t>11</t>
    </r>
  </si>
  <si>
    <r>
      <rPr>
        <sz val="12"/>
        <color rgb="FF000000"/>
        <rFont val="Arial"/>
        <family val="2"/>
      </rPr>
      <t>12</t>
    </r>
  </si>
  <si>
    <t>Consolidated net income attributable to Aurubis AG shareholders</t>
  </si>
  <si>
    <r>
      <rPr>
        <sz val="12"/>
        <color rgb="FF000000"/>
        <rFont val="Arial"/>
        <family val="2"/>
      </rPr>
      <t>13</t>
    </r>
  </si>
  <si>
    <t>Consolidated net income attributable to non-controlling interests</t>
  </si>
  <si>
    <t>Basic earnings per share (in €)</t>
  </si>
  <si>
    <r>
      <rPr>
        <sz val="12"/>
        <color rgb="FF000000"/>
        <rFont val="Arial"/>
        <family val="2"/>
      </rPr>
      <t>14</t>
    </r>
  </si>
  <si>
    <t>Diluted earnings per share (in €)</t>
  </si>
  <si>
    <t>Items that will be reclassified to profit or loss in the future</t>
  </si>
  <si>
    <t>Measurement at market of cash flow hedges</t>
  </si>
  <si>
    <t>Hedging costs</t>
  </si>
  <si>
    <t>Changes deriving from translation of foreign currencies</t>
  </si>
  <si>
    <t>Financial fixed assets accounted for using the equity method — share of other comprehensive income</t>
  </si>
  <si>
    <t>Items that will not be reclassified to profit or loss</t>
  </si>
  <si>
    <t>Remeasurement of the net liability deriving from defined benefit obligations</t>
  </si>
  <si>
    <t>Financial fixed assets accounted for using the equity method — remeasurement of the net liability deriving from defined benefit obligations</t>
  </si>
  <si>
    <t>Other comprehensive income/loss</t>
  </si>
  <si>
    <t>Consolidated total comprehensive income</t>
  </si>
  <si>
    <t>Consolidated total comprehensive income attributable to Aurubis AG shareholders</t>
  </si>
  <si>
    <t>Consolidated total comprehensive income attributable to non-controlling interests</t>
  </si>
  <si>
    <r>
      <rPr>
        <b/>
        <sz val="16"/>
        <color rgb="FF000000"/>
        <rFont val="Arial"/>
        <family val="2"/>
      </rPr>
      <t xml:space="preserve">Consolidated Statement of Financial Position </t>
    </r>
    <r>
      <rPr>
        <b/>
        <sz val="16"/>
        <color rgb="FF000000"/>
        <rFont val="Arial"/>
        <family val="2"/>
      </rPr>
      <t>Assets</t>
    </r>
    <r>
      <rPr>
        <b/>
        <sz val="16"/>
        <color rgb="FF000000"/>
        <rFont val="Arial"/>
        <family val="2"/>
      </rPr>
      <t xml:space="preserve"> (</t>
    </r>
    <r>
      <rPr>
        <b/>
        <sz val="16"/>
        <color rgb="FF000000"/>
        <rFont val="Arial"/>
        <family val="2"/>
      </rPr>
      <t>IFRS</t>
    </r>
    <r>
      <rPr>
        <b/>
        <sz val="16"/>
        <color rgb="FF000000"/>
        <rFont val="Arial"/>
        <family val="2"/>
      </rPr>
      <t>)</t>
    </r>
  </si>
  <si>
    <r>
      <rPr>
        <sz val="12"/>
        <color rgb="FF1D1D1D"/>
        <rFont val="Arial"/>
        <family val="2"/>
      </rPr>
      <t>Note</t>
    </r>
  </si>
  <si>
    <t>Intangible assets</t>
  </si>
  <si>
    <r>
      <rPr>
        <sz val="12"/>
        <color rgb="FF000000"/>
        <rFont val="Arial"/>
        <family val="2"/>
      </rPr>
      <t>15</t>
    </r>
  </si>
  <si>
    <t>Property, plant and equipment</t>
  </si>
  <si>
    <r>
      <rPr>
        <sz val="12"/>
        <color rgb="FF000000"/>
        <rFont val="Arial"/>
        <family val="2"/>
      </rPr>
      <t>16</t>
    </r>
  </si>
  <si>
    <t>Financial fixed assets</t>
  </si>
  <si>
    <r>
      <rPr>
        <sz val="12"/>
        <color rgb="FF000000"/>
        <rFont val="Arial"/>
        <family val="2"/>
      </rPr>
      <t>17</t>
    </r>
  </si>
  <si>
    <t>Investments measured using the equity method</t>
  </si>
  <si>
    <r>
      <rPr>
        <sz val="12"/>
        <color rgb="FF000000"/>
        <rFont val="Arial"/>
        <family val="2"/>
      </rPr>
      <t>18</t>
    </r>
  </si>
  <si>
    <t>Deferred tax assets</t>
  </si>
  <si>
    <r>
      <rPr>
        <sz val="12"/>
        <color rgb="FF000000"/>
        <rFont val="Arial"/>
        <family val="2"/>
      </rPr>
      <t>24</t>
    </r>
  </si>
  <si>
    <t>Non-current financial assets</t>
  </si>
  <si>
    <r>
      <rPr>
        <sz val="12"/>
        <color rgb="FF000000"/>
        <rFont val="Arial"/>
        <family val="2"/>
      </rPr>
      <t>21</t>
    </r>
  </si>
  <si>
    <t>Non current assets</t>
  </si>
  <si>
    <r>
      <rPr>
        <b/>
        <sz val="12"/>
        <color rgb="FF000000"/>
        <rFont val="Arial"/>
        <family val="2"/>
      </rPr>
      <t> </t>
    </r>
  </si>
  <si>
    <r>
      <rPr>
        <sz val="12"/>
        <color rgb="FF000000"/>
        <rFont val="Arial"/>
        <family val="2"/>
      </rPr>
      <t>19</t>
    </r>
  </si>
  <si>
    <t>Trade accounts receivables</t>
  </si>
  <si>
    <r>
      <rPr>
        <sz val="12"/>
        <color rgb="FF000000"/>
        <rFont val="Arial"/>
        <family val="2"/>
      </rPr>
      <t>20</t>
    </r>
  </si>
  <si>
    <t>Other current financial assets</t>
  </si>
  <si>
    <t>Current non-financial assets</t>
  </si>
  <si>
    <r>
      <rPr>
        <sz val="12"/>
        <color rgb="FF000000"/>
        <rFont val="Arial"/>
        <family val="2"/>
      </rPr>
      <t>22</t>
    </r>
  </si>
  <si>
    <t>Current assets</t>
  </si>
  <si>
    <t>Total assets</t>
  </si>
  <si>
    <r>
      <rPr>
        <b/>
        <sz val="16"/>
        <color rgb="FF000000"/>
        <rFont val="Arial"/>
        <family val="2"/>
      </rPr>
      <t xml:space="preserve">Consolidated Statement of Financial Position </t>
    </r>
    <r>
      <rPr>
        <b/>
        <sz val="16"/>
        <color rgb="FF000000"/>
        <rFont val="Arial"/>
        <family val="2"/>
      </rPr>
      <t>Equity and liabilities</t>
    </r>
    <r>
      <rPr>
        <b/>
        <sz val="16"/>
        <color rgb="FF000000"/>
        <rFont val="Arial"/>
        <family val="2"/>
      </rPr>
      <t xml:space="preserve"> (</t>
    </r>
    <r>
      <rPr>
        <b/>
        <sz val="16"/>
        <color rgb="FF000000"/>
        <rFont val="Arial"/>
        <family val="2"/>
      </rPr>
      <t>IFRS)</t>
    </r>
  </si>
  <si>
    <t>Subscribed capital</t>
  </si>
  <si>
    <r>
      <rPr>
        <sz val="12"/>
        <color rgb="FF000000"/>
        <rFont val="Arial"/>
        <family val="2"/>
      </rPr>
      <t>23</t>
    </r>
  </si>
  <si>
    <t>Additional paid-in capital</t>
  </si>
  <si>
    <t>Treasury shares</t>
  </si>
  <si>
    <t>Generated Group equity</t>
  </si>
  <si>
    <t>Accumulated other comprehensive income components</t>
  </si>
  <si>
    <t>Equity attributable to Aurubis AG shareholders</t>
  </si>
  <si>
    <t>Non-controlling interests</t>
  </si>
  <si>
    <t>Pension provisions and similar obligations</t>
  </si>
  <si>
    <r>
      <rPr>
        <sz val="12"/>
        <color rgb="FF000000"/>
        <rFont val="Arial"/>
        <family val="2"/>
      </rPr>
      <t>25</t>
    </r>
  </si>
  <si>
    <t>Other non-current provisions</t>
  </si>
  <si>
    <r>
      <rPr>
        <sz val="12"/>
        <color rgb="FF000000"/>
        <rFont val="Arial"/>
        <family val="2"/>
      </rPr>
      <t>26</t>
    </r>
  </si>
  <si>
    <t>Deferred tax liabilities</t>
  </si>
  <si>
    <t>Non-current borrowings</t>
  </si>
  <si>
    <r>
      <rPr>
        <sz val="12"/>
        <color rgb="FF000000"/>
        <rFont val="Arial"/>
        <family val="2"/>
      </rPr>
      <t>27</t>
    </r>
  </si>
  <si>
    <t>Other non-current financial liabilities</t>
  </si>
  <si>
    <t>Non-current non-financial liabilities</t>
  </si>
  <si>
    <t>Non-current liabilities</t>
  </si>
  <si>
    <t>Current provisions</t>
  </si>
  <si>
    <t>Trade accounts payable</t>
  </si>
  <si>
    <t>Income tax liabilities</t>
  </si>
  <si>
    <t>Current borrowings</t>
  </si>
  <si>
    <t>Other current financial liabilities</t>
  </si>
  <si>
    <t>Other current non-financial liabilities</t>
  </si>
  <si>
    <t>Total equity and liabilities</t>
  </si>
  <si>
    <t>Earnings before taxes</t>
  </si>
  <si>
    <t>Depreciation and amortization of fixed assets (including impairment losses or reversals)</t>
  </si>
  <si>
    <t>Change in allowances on receivables and other assets</t>
  </si>
  <si>
    <t>Change in non-current provisions</t>
  </si>
  <si>
    <t>Net gains/losses on disposal of fixed assets</t>
  </si>
  <si>
    <t>Measurement of derivatives</t>
  </si>
  <si>
    <t>Other non-cash items</t>
  </si>
  <si>
    <t>Expenses and income included in the financial result</t>
  </si>
  <si>
    <t>Interest received</t>
  </si>
  <si>
    <t>Income taxes received/paid</t>
  </si>
  <si>
    <t>Gross cash flow</t>
  </si>
  <si>
    <t>Change in receivables and other assets</t>
  </si>
  <si>
    <t>Change in inventories (including measurement effects)</t>
  </si>
  <si>
    <t>Change in current provisions</t>
  </si>
  <si>
    <t>Change in liabilities (excluding financial liabilities)</t>
  </si>
  <si>
    <t>Cash flow from operating activities (net cash flow)</t>
  </si>
  <si>
    <t>Payments for investments in fixed assets</t>
  </si>
  <si>
    <t>Payments from the granting of loans to related entities</t>
  </si>
  <si>
    <t>Proceeds from the disposal of fixed assets</t>
  </si>
  <si>
    <t>Proceeds from the sale of equity instruments held as financial assets</t>
  </si>
  <si>
    <t>Proceeds  from the disposal of subsidiaries and other business units (net of cash and cash equivalents disposed of)</t>
  </si>
  <si>
    <t>Payments from subsequent purchase price adjustments in connection with the sale of subsidiaries and other business units</t>
  </si>
  <si>
    <t>Proceeds from the redemption of loans granted to related entities</t>
  </si>
  <si>
    <t>Dividends received</t>
  </si>
  <si>
    <t>Cash flow from investing activities</t>
  </si>
  <si>
    <t>Proceeds deriving from the take-up of financial liabilities</t>
  </si>
  <si>
    <t>Payments for the redemption of bonds and financial liabilities</t>
  </si>
  <si>
    <t>Interest paid</t>
  </si>
  <si>
    <t>Dividends paid</t>
  </si>
  <si>
    <t>Cash flow from financing activities</t>
  </si>
  <si>
    <t>Net change in cash and cash equivalents</t>
  </si>
  <si>
    <t>Changes resulting from movements in exchange rates</t>
  </si>
  <si>
    <t>Cash and cash equivalents at beginning of period</t>
  </si>
  <si>
    <t xml:space="preserve">Cash and cash equivalents at end of period </t>
  </si>
  <si>
    <t> </t>
  </si>
  <si>
    <t>Subscribed
capital</t>
  </si>
  <si>
    <t>Additional
paid-in
capital</t>
  </si>
  <si>
    <t>Treasury
shares</t>
  </si>
  <si>
    <t>Generated
Group
equity</t>
  </si>
  <si>
    <t>Measurement at
market of
cash flow
hedges</t>
  </si>
  <si>
    <t>Hedging
costs</t>
  </si>
  <si>
    <t>Measurement at
market of
financial
investments</t>
  </si>
  <si>
    <t>Currency
translation
differences</t>
  </si>
  <si>
    <t>Income
taxes</t>
  </si>
  <si>
    <t>Equity
attributable
to
Aurubis AG
shareholders</t>
  </si>
  <si>
    <t>Non-controlling
interests</t>
  </si>
  <si>
    <t>Total
equity</t>
  </si>
  <si>
    <t>Balance as at 10/1/2023</t>
  </si>
  <si>
    <t>Dividend payment</t>
  </si>
  <si>
    <t>Consolidated total comprehensive income/loss</t>
  </si>
  <si>
    <t>of which consolidated
net income</t>
  </si>
  <si>
    <t>of which other comprehensive income/loss</t>
  </si>
  <si>
    <t>Balance as at 9/30/2024</t>
  </si>
  <si>
    <t>Balance as at 10/1/2024</t>
  </si>
  <si>
    <t>Consolidated total
comprehensive income/loss</t>
  </si>
  <si>
    <t>Balance as at 9/30/2025</t>
  </si>
  <si>
    <r>
      <rPr>
        <sz val="12"/>
        <color rgb="FF000000"/>
        <rFont val="Arial"/>
        <family val="2"/>
      </rPr>
      <t>February 5, 2026</t>
    </r>
  </si>
  <si>
    <r>
      <rPr>
        <sz val="12"/>
        <color rgb="FF000000"/>
        <rFont val="Arial"/>
        <family val="2"/>
      </rPr>
      <t>Quarterly Report on the First 3 Months 2025/26</t>
    </r>
  </si>
  <si>
    <r>
      <rPr>
        <sz val="12"/>
        <color rgb="FF000000"/>
        <rFont val="Arial"/>
        <family val="2"/>
      </rPr>
      <t>February 12, 2026</t>
    </r>
  </si>
  <si>
    <t>Annual General Meeting</t>
  </si>
  <si>
    <r>
      <rPr>
        <sz val="12"/>
        <color rgb="FF000000"/>
        <rFont val="Arial"/>
        <family val="2"/>
      </rPr>
      <t>May 11, 2026</t>
    </r>
  </si>
  <si>
    <r>
      <rPr>
        <sz val="12"/>
        <color rgb="FF000000"/>
        <rFont val="Arial"/>
        <family val="2"/>
      </rPr>
      <t>Interim Report on the First 6 Months 2025/26</t>
    </r>
  </si>
  <si>
    <r>
      <rPr>
        <sz val="12"/>
        <color rgb="FF000000"/>
        <rFont val="Arial"/>
        <family val="2"/>
      </rPr>
      <t>August 6, 2026</t>
    </r>
  </si>
  <si>
    <r>
      <rPr>
        <sz val="12"/>
        <color rgb="FF000000"/>
        <rFont val="Arial"/>
        <family val="2"/>
      </rPr>
      <t>Quarterly Report on the First 9 Months 2025/26</t>
    </r>
  </si>
  <si>
    <r>
      <rPr>
        <sz val="12"/>
        <color rgb="FF000000"/>
        <rFont val="Arial"/>
        <family val="2"/>
      </rPr>
      <t>December 2, 2026</t>
    </r>
  </si>
  <si>
    <r>
      <rPr>
        <sz val="12"/>
        <color rgb="FF000000"/>
        <rFont val="Arial"/>
        <family val="2"/>
      </rPr>
      <t>Annual Report 2025/26</t>
    </r>
  </si>
  <si>
    <t>Results</t>
  </si>
  <si>
    <t>€m</t>
  </si>
  <si>
    <t>EBITDA</t>
  </si>
  <si>
    <t>EBIT</t>
  </si>
  <si>
    <t>EBT</t>
  </si>
  <si>
    <t>Operating EBT¹</t>
  </si>
  <si>
    <t>Operating consolidated net income</t>
  </si>
  <si>
    <t>Net cash flow</t>
  </si>
  <si>
    <t>Operating ROCE¹</t>
  </si>
  <si>
    <t>Consolidated statement of financial position</t>
  </si>
  <si>
    <t>Aurubis shares</t>
  </si>
  <si>
    <t>Market capitalization</t>
  </si>
  <si>
    <t>Earnings per share</t>
  </si>
  <si>
    <t>€</t>
  </si>
  <si>
    <t>Operating earnings per share</t>
  </si>
  <si>
    <t>Dividend per share²</t>
  </si>
  <si>
    <r>
      <rPr>
        <vertAlign val="superscript"/>
        <sz val="10"/>
        <color rgb="FF000000"/>
        <rFont val="Arial"/>
        <family val="2"/>
      </rPr>
      <t>1</t>
    </r>
    <r>
      <rPr>
        <sz val="10"/>
        <color rgb="FF000000"/>
        <rFont val="Arial"/>
        <family val="2"/>
      </rPr>
      <t xml:space="preserve"> Corporate control parameter. 
</t>
    </r>
    <r>
      <rPr>
        <vertAlign val="superscript"/>
        <sz val="10"/>
        <color rgb="FF000000"/>
        <rFont val="Arial"/>
        <family val="2"/>
      </rPr>
      <t>2</t>
    </r>
    <r>
      <rPr>
        <sz val="10"/>
        <color rgb="FF000000"/>
        <rFont val="Arial"/>
        <family val="2"/>
      </rPr>
      <t xml:space="preserve"> The 2024/25 figure represents the proposed dividend.</t>
    </r>
  </si>
  <si>
    <t>6</t>
  </si>
  <si>
    <t>12</t>
  </si>
  <si>
    <t>15</t>
  </si>
  <si>
    <t>13</t>
  </si>
  <si>
    <t>50</t>
  </si>
  <si>
    <t>100</t>
  </si>
  <si>
    <r>
      <rPr>
        <b/>
        <sz val="12"/>
        <color rgb="FF1D1D1D"/>
        <rFont val="Arial"/>
        <family val="2"/>
      </rPr>
      <t>Dr. Toralf Haag</t>
    </r>
    <r>
      <rPr>
        <sz val="12"/>
        <color rgb="FF1D1D1D"/>
        <rFont val="Arial"/>
        <family val="2"/>
      </rPr>
      <t xml:space="preserve">
Chief Executive Officer 
Executive Board Chairman since 
September 1, 2024</t>
    </r>
  </si>
  <si>
    <r>
      <rPr>
        <b/>
        <sz val="12"/>
        <color rgb="FF000000"/>
        <rFont val="Arial"/>
        <family val="2"/>
      </rPr>
      <t>Steffen Alexander Hoffmann</t>
    </r>
    <r>
      <rPr>
        <sz val="12"/>
        <color rgb="FF000000"/>
        <rFont val="Arial"/>
        <family val="2"/>
      </rPr>
      <t xml:space="preserve">
Chief Financial Officer 
Executive Board member since October 1, 2024</t>
    </r>
  </si>
  <si>
    <r>
      <rPr>
        <b/>
        <sz val="12"/>
        <color rgb="FF1D1D1D"/>
        <rFont val="Arial"/>
        <family val="2"/>
      </rPr>
      <t>Inge Hofkens</t>
    </r>
    <r>
      <rPr>
        <sz val="12"/>
        <color rgb="FF1D1D1D"/>
        <rFont val="Arial"/>
        <family val="2"/>
      </rPr>
      <t xml:space="preserve">
COO Multimetal Recycling
Executive Board member since January 1, 2023</t>
    </r>
  </si>
  <si>
    <r>
      <rPr>
        <b/>
        <sz val="12"/>
        <color rgb="FF1D1D1D"/>
        <rFont val="Arial"/>
        <family val="2"/>
      </rPr>
      <t>Tim Kurth</t>
    </r>
    <r>
      <rPr>
        <b/>
        <vertAlign val="superscript"/>
        <sz val="12"/>
        <color rgb="FF1D1D1D"/>
        <rFont val="Arial"/>
        <family val="2"/>
      </rPr>
      <t>3</t>
    </r>
    <r>
      <rPr>
        <sz val="12"/>
        <color rgb="FF1D1D1D"/>
        <rFont val="Arial"/>
        <family val="2"/>
      </rPr>
      <t xml:space="preserve">
COO Custom Smelting &amp; Products
Executive Board member since September 1, 2024</t>
    </r>
  </si>
  <si>
    <r>
      <rPr>
        <b/>
        <sz val="12"/>
        <color rgb="FF000000"/>
        <rFont val="Arial"/>
        <family val="2"/>
      </rPr>
      <t>Dr. Toralf Haag</t>
    </r>
    <r>
      <rPr>
        <sz val="12"/>
        <color rgb="FF000000"/>
        <rFont val="Arial"/>
        <family val="2"/>
      </rPr>
      <t xml:space="preserve">
Chief Executive Officer 
Executive Board Chairman since 
September 1, 2024</t>
    </r>
  </si>
  <si>
    <r>
      <rPr>
        <b/>
        <sz val="12"/>
        <color rgb="FF000000"/>
        <rFont val="Arial"/>
        <family val="2"/>
      </rPr>
      <t>Steffen Alexander Hoffmann</t>
    </r>
    <r>
      <rPr>
        <b/>
        <vertAlign val="superscript"/>
        <sz val="12"/>
        <color rgb="FF000000"/>
        <rFont val="Arial"/>
        <family val="2"/>
      </rPr>
      <t>3</t>
    </r>
    <r>
      <rPr>
        <sz val="12"/>
        <color rgb="FF000000"/>
        <rFont val="Arial"/>
        <family val="2"/>
      </rPr>
      <t xml:space="preserve">
Chief Financial Officer 
Executive Board member since October 1, 2024</t>
    </r>
  </si>
  <si>
    <r>
      <rPr>
        <b/>
        <sz val="12"/>
        <color rgb="FF000000"/>
        <rFont val="Arial"/>
        <family val="2"/>
      </rPr>
      <t>Tim Kurth</t>
    </r>
    <r>
      <rPr>
        <b/>
        <vertAlign val="superscript"/>
        <sz val="12"/>
        <color rgb="FF000000"/>
        <rFont val="Arial"/>
        <family val="2"/>
      </rPr>
      <t>4</t>
    </r>
    <r>
      <rPr>
        <sz val="12"/>
        <color rgb="FF000000"/>
        <rFont val="Arial"/>
        <family val="2"/>
      </rPr>
      <t xml:space="preserve">
COO Custom Smelting &amp; Products
Executive Board member since September 1, 2024</t>
    </r>
  </si>
  <si>
    <r>
      <rPr>
        <b/>
        <sz val="12"/>
        <color rgb="FF000000"/>
        <rFont val="Arial"/>
        <family val="2"/>
      </rPr>
      <t>Roland Harings</t>
    </r>
    <r>
      <rPr>
        <sz val="12"/>
        <color rgb="FF000000"/>
        <rFont val="Arial"/>
        <family val="2"/>
      </rPr>
      <t xml:space="preserve">
Chief Executive Officer 
Executive Board Chairman 
from May 20, 2019 to September 30, 2024</t>
    </r>
  </si>
  <si>
    <r>
      <rPr>
        <b/>
        <sz val="12"/>
        <color rgb="FF000000"/>
        <rFont val="Arial"/>
        <family val="2"/>
      </rPr>
      <t>Dr. Heiko Arnold</t>
    </r>
    <r>
      <rPr>
        <sz val="12"/>
        <color rgb="FF000000"/>
        <rFont val="Arial"/>
        <family val="2"/>
      </rPr>
      <t xml:space="preserve">
COO Custom Smelting &amp; Products
Executive Board member from August 15, 2020 to April 30, 2024</t>
    </r>
  </si>
  <si>
    <r>
      <rPr>
        <b/>
        <sz val="12"/>
        <color rgb="FF000000"/>
        <rFont val="Arial"/>
        <family val="2"/>
      </rPr>
      <t>Rainer Verhoeven</t>
    </r>
    <r>
      <rPr>
        <sz val="12"/>
        <color rgb="FF000000"/>
        <rFont val="Arial"/>
        <family val="2"/>
      </rPr>
      <t xml:space="preserve">
Chief Financial Officer
Executive Board member from January 1, 2018 to June 30, 2024</t>
    </r>
  </si>
  <si>
    <t>40</t>
  </si>
  <si>
    <t>39</t>
  </si>
  <si>
    <t>45</t>
  </si>
  <si>
    <t>11</t>
  </si>
  <si>
    <t>4</t>
  </si>
  <si>
    <t>57</t>
  </si>
  <si>
    <t>58</t>
  </si>
  <si>
    <t>33</t>
  </si>
  <si>
    <t>31</t>
  </si>
  <si>
    <t>55</t>
  </si>
  <si>
    <t>56</t>
  </si>
  <si>
    <t>22</t>
  </si>
  <si>
    <t>24</t>
  </si>
  <si>
    <t>17</t>
  </si>
  <si>
    <t>14</t>
  </si>
  <si>
    <t>9</t>
  </si>
  <si>
    <t>52</t>
  </si>
  <si>
    <t xml:space="preserve">0 </t>
  </si>
  <si>
    <t xml:space="preserve">100 </t>
  </si>
  <si>
    <t xml:space="preserve">1 </t>
  </si>
  <si>
    <t xml:space="preserve">18 </t>
  </si>
  <si>
    <t xml:space="preserve">19 </t>
  </si>
  <si>
    <t xml:space="preserve">81 </t>
  </si>
  <si>
    <t>1</t>
  </si>
  <si>
    <t>18</t>
  </si>
  <si>
    <t>19</t>
  </si>
  <si>
    <t>81</t>
  </si>
  <si>
    <t>Back to index</t>
  </si>
  <si>
    <r>
      <rPr>
        <sz val="12"/>
        <color rgb="FF000000"/>
        <rFont val="Arial"/>
        <family val="2"/>
      </rPr>
      <t xml:space="preserve">	</t>
    </r>
    <r>
      <rPr>
        <sz val="12"/>
        <color rgb="FF0076A7"/>
        <rFont val="Arial"/>
        <family val="2"/>
      </rPr>
      <t>»</t>
    </r>
    <r>
      <rPr>
        <sz val="12"/>
        <color rgb="FF1D1D1D"/>
        <rFont val="Arial"/>
        <family val="2"/>
      </rPr>
      <t xml:space="preserve">Type: Annual bonus
</t>
    </r>
    <r>
      <rPr>
        <sz val="12"/>
        <color rgb="FF000000"/>
        <rFont val="Arial"/>
        <family val="2"/>
      </rPr>
      <t xml:space="preserve">	</t>
    </r>
    <r>
      <rPr>
        <sz val="12"/>
        <color rgb="FF0076A7"/>
        <rFont val="Arial"/>
        <family val="2"/>
      </rPr>
      <t>»</t>
    </r>
    <r>
      <rPr>
        <sz val="12"/>
        <color rgb="FF1D1D1D"/>
        <rFont val="Arial"/>
        <family val="2"/>
      </rPr>
      <t xml:space="preserve">Performance criteria:
</t>
    </r>
    <r>
      <rPr>
        <sz val="12"/>
        <color rgb="FF000000"/>
        <rFont val="Arial"/>
        <family val="2"/>
      </rPr>
      <t xml:space="preserve">		</t>
    </r>
    <r>
      <rPr>
        <sz val="12"/>
        <color rgb="FF0076A8"/>
        <rFont val="Arial"/>
        <family val="2"/>
      </rPr>
      <t xml:space="preserve">› </t>
    </r>
    <r>
      <rPr>
        <sz val="12"/>
        <color rgb="FF1D1D1D"/>
        <rFont val="Arial"/>
        <family val="2"/>
      </rPr>
      <t xml:space="preserve">Operating EBT (70 %)
</t>
    </r>
    <r>
      <rPr>
        <sz val="12"/>
        <color rgb="FF000000"/>
        <rFont val="Arial"/>
        <family val="2"/>
      </rPr>
      <t xml:space="preserve">		</t>
    </r>
    <r>
      <rPr>
        <sz val="12"/>
        <color rgb="FF0076A8"/>
        <rFont val="Arial"/>
        <family val="2"/>
      </rPr>
      <t xml:space="preserve">› </t>
    </r>
    <r>
      <rPr>
        <sz val="12"/>
        <color rgb="FF1D1D1D"/>
        <rFont val="Arial"/>
        <family val="2"/>
      </rPr>
      <t xml:space="preserve">Individual performance of the Executive Board member (20 %)
</t>
    </r>
    <r>
      <rPr>
        <sz val="12"/>
        <color rgb="FF000000"/>
        <rFont val="Arial"/>
        <family val="2"/>
      </rPr>
      <t xml:space="preserve">		</t>
    </r>
    <r>
      <rPr>
        <sz val="12"/>
        <color rgb="FF0076A8"/>
        <rFont val="Arial"/>
        <family val="2"/>
      </rPr>
      <t xml:space="preserve">› </t>
    </r>
    <r>
      <rPr>
        <sz val="12"/>
        <color rgb="FF1D1D1D"/>
        <rFont val="Arial"/>
        <family val="2"/>
      </rPr>
      <t xml:space="preserve">ESG targets (10 %)
</t>
    </r>
    <r>
      <rPr>
        <sz val="12"/>
        <color rgb="FF000000"/>
        <rFont val="Arial"/>
        <family val="2"/>
      </rPr>
      <t xml:space="preserve">	</t>
    </r>
    <r>
      <rPr>
        <sz val="12"/>
        <color rgb="FF0076A7"/>
        <rFont val="Arial"/>
        <family val="2"/>
      </rPr>
      <t>»</t>
    </r>
    <r>
      <rPr>
        <sz val="12"/>
        <color rgb="FF1D1D1D"/>
        <rFont val="Arial"/>
        <family val="2"/>
      </rPr>
      <t xml:space="preserve">Payout: In full in cash upon expiry of the fiscal year 
</t>
    </r>
    <r>
      <rPr>
        <sz val="12"/>
        <color rgb="FF000000"/>
        <rFont val="Arial"/>
        <family val="2"/>
      </rPr>
      <t xml:space="preserve">	</t>
    </r>
    <r>
      <rPr>
        <sz val="12"/>
        <color rgb="FF0076A7"/>
        <rFont val="Arial"/>
        <family val="2"/>
      </rPr>
      <t>»</t>
    </r>
    <r>
      <rPr>
        <sz val="12"/>
        <color rgb="FF1D1D1D"/>
        <rFont val="Arial"/>
        <family val="2"/>
      </rPr>
      <t xml:space="preserve">Cap: 150 % of the target amount
</t>
    </r>
    <r>
      <rPr>
        <sz val="12"/>
        <color rgb="FF000000"/>
        <rFont val="Arial"/>
        <family val="2"/>
      </rPr>
      <t xml:space="preserve">	</t>
    </r>
    <r>
      <rPr>
        <sz val="12"/>
        <color rgb="FF0076A7"/>
        <rFont val="Arial"/>
        <family val="2"/>
      </rPr>
      <t>»</t>
    </r>
    <r>
      <rPr>
        <sz val="12"/>
        <color rgb="FF1D1D1D"/>
        <rFont val="Arial"/>
        <family val="2"/>
      </rPr>
      <t>No discretionary special bonus agreed</t>
    </r>
  </si>
  <si>
    <r>
      <rPr>
        <sz val="12"/>
        <color rgb="FF000000"/>
        <rFont val="Arial"/>
        <family val="2"/>
      </rPr>
      <t xml:space="preserve">	</t>
    </r>
    <r>
      <rPr>
        <sz val="12"/>
        <color rgb="FF0076A7"/>
        <rFont val="Arial"/>
        <family val="2"/>
      </rPr>
      <t>»</t>
    </r>
    <r>
      <rPr>
        <sz val="12"/>
        <color rgb="FF1D1D1D"/>
        <rFont val="Arial"/>
        <family val="2"/>
      </rPr>
      <t xml:space="preserve">Type: Performance share plan
</t>
    </r>
    <r>
      <rPr>
        <sz val="12"/>
        <color rgb="FF000000"/>
        <rFont val="Arial"/>
        <family val="2"/>
      </rPr>
      <t xml:space="preserve">	</t>
    </r>
    <r>
      <rPr>
        <sz val="12"/>
        <color rgb="FF0076A7"/>
        <rFont val="Arial"/>
        <family val="2"/>
      </rPr>
      <t>»</t>
    </r>
    <r>
      <rPr>
        <sz val="12"/>
        <color rgb="FF1D1D1D"/>
        <rFont val="Arial"/>
        <family val="2"/>
      </rPr>
      <t xml:space="preserve">Performance period: 4 years
</t>
    </r>
    <r>
      <rPr>
        <sz val="12"/>
        <color rgb="FF000000"/>
        <rFont val="Arial"/>
        <family val="2"/>
      </rPr>
      <t xml:space="preserve">	</t>
    </r>
    <r>
      <rPr>
        <sz val="12"/>
        <color rgb="FF0076A7"/>
        <rFont val="Arial"/>
        <family val="2"/>
      </rPr>
      <t>»</t>
    </r>
    <r>
      <rPr>
        <sz val="12"/>
        <color rgb="FF1D1D1D"/>
        <rFont val="Arial"/>
        <family val="2"/>
      </rPr>
      <t xml:space="preserve">Performance criterion: 
</t>
    </r>
    <r>
      <rPr>
        <sz val="12"/>
        <color rgb="FF000000"/>
        <rFont val="Arial"/>
        <family val="2"/>
      </rPr>
      <t xml:space="preserve">		</t>
    </r>
    <r>
      <rPr>
        <sz val="12"/>
        <color rgb="FF0076A8"/>
        <rFont val="Arial"/>
        <family val="2"/>
      </rPr>
      <t xml:space="preserve">› </t>
    </r>
    <r>
      <rPr>
        <sz val="12"/>
        <color rgb="FF1D1D1D"/>
        <rFont val="Arial"/>
        <family val="2"/>
      </rPr>
      <t xml:space="preserve">Operating ROCE (50 %)
</t>
    </r>
    <r>
      <rPr>
        <sz val="12"/>
        <color rgb="FF000000"/>
        <rFont val="Arial"/>
        <family val="2"/>
      </rPr>
      <t xml:space="preserve">		</t>
    </r>
    <r>
      <rPr>
        <sz val="12"/>
        <color rgb="FF0076A8"/>
        <rFont val="Arial"/>
        <family val="2"/>
      </rPr>
      <t xml:space="preserve">› </t>
    </r>
    <r>
      <rPr>
        <sz val="12"/>
        <color rgb="FF1D1D1D"/>
        <rFont val="Arial"/>
        <family val="2"/>
      </rPr>
      <t xml:space="preserve">Relative total shareholder return (TSR) vs. MDAX (50 %)
</t>
    </r>
    <r>
      <rPr>
        <sz val="12"/>
        <color rgb="FF000000"/>
        <rFont val="Arial"/>
        <family val="2"/>
      </rPr>
      <t xml:space="preserve">	</t>
    </r>
    <r>
      <rPr>
        <sz val="12"/>
        <color rgb="FF0076A7"/>
        <rFont val="Arial"/>
        <family val="2"/>
      </rPr>
      <t>»</t>
    </r>
    <r>
      <rPr>
        <sz val="12"/>
        <color rgb="FF1D1D1D"/>
        <rFont val="Arial"/>
        <family val="2"/>
      </rPr>
      <t xml:space="preserve">Cap: 200 % of the target amount
</t>
    </r>
    <r>
      <rPr>
        <sz val="12"/>
        <color rgb="FF000000"/>
        <rFont val="Arial"/>
        <family val="2"/>
      </rPr>
      <t xml:space="preserve">	</t>
    </r>
    <r>
      <rPr>
        <sz val="12"/>
        <color rgb="FF0076A7"/>
        <rFont val="Arial"/>
        <family val="2"/>
      </rPr>
      <t>»</t>
    </r>
    <r>
      <rPr>
        <sz val="12"/>
        <color rgb="FF1D1D1D"/>
        <rFont val="Arial"/>
        <family val="2"/>
      </rPr>
      <t>Payout: In cash at the end of the 4-year performance period</t>
    </r>
  </si>
  <si>
    <r>
      <rPr>
        <sz val="12"/>
        <color rgb="FF0076A8"/>
        <rFont val="Arial"/>
        <family val="2"/>
      </rPr>
      <t xml:space="preserve">» </t>
    </r>
    <r>
      <rPr>
        <sz val="12"/>
        <color rgb="FF000000"/>
        <rFont val="Arial"/>
        <family val="2"/>
      </rPr>
      <t>Key measures of the seven security clusters fully implemented at all sites</t>
    </r>
  </si>
  <si>
    <r>
      <rPr>
        <sz val="12"/>
        <color rgb="FF0076A8"/>
        <rFont val="Arial"/>
        <family val="2"/>
      </rPr>
      <t xml:space="preserve">» </t>
    </r>
    <r>
      <rPr>
        <sz val="12"/>
        <color rgb="FF000000"/>
        <rFont val="Arial"/>
        <family val="2"/>
      </rPr>
      <t xml:space="preserve">Seven security clusters effectively implemented for precious metal processing as well as raw material pre-processing and sampling (Lab &amp; Sampling)
</t>
    </r>
    <r>
      <rPr>
        <sz val="12"/>
        <color rgb="FF0076A8"/>
        <rFont val="Arial"/>
        <family val="2"/>
      </rPr>
      <t xml:space="preserve">» </t>
    </r>
    <r>
      <rPr>
        <sz val="12"/>
        <color rgb="FF000000"/>
        <rFont val="Arial"/>
        <family val="2"/>
      </rPr>
      <t>All relevant SAFE measures implemented</t>
    </r>
  </si>
  <si>
    <r>
      <rPr>
        <sz val="12"/>
        <color rgb="FF0076A8"/>
        <rFont val="Arial"/>
        <family val="2"/>
      </rPr>
      <t xml:space="preserve">» </t>
    </r>
    <r>
      <rPr>
        <sz val="12"/>
        <color rgb="FF000000"/>
        <rFont val="Arial"/>
        <family val="2"/>
      </rPr>
      <t xml:space="preserve">The seven security clusters have been communicated and initiated Group-wide (transport &amp; asset protection, people protection &amp; travel security, site security &amp; precious metal security, crisis management, security advocacy, threat &amp; country intelligence, know-how &amp; process security) and key measures have been implemented at the sites
</t>
    </r>
    <r>
      <rPr>
        <sz val="12"/>
        <color rgb="FF0076A8"/>
        <rFont val="Arial"/>
        <family val="2"/>
      </rPr>
      <t xml:space="preserve">» </t>
    </r>
    <r>
      <rPr>
        <sz val="12"/>
        <color rgb="FF000000"/>
        <rFont val="Arial"/>
        <family val="2"/>
      </rPr>
      <t>A majority of SAFE measures have been implemented, including transfer to ICS &amp; Signavio</t>
    </r>
  </si>
  <si>
    <r>
      <rPr>
        <sz val="12"/>
        <color rgb="FF0076A8"/>
        <rFont val="Arial"/>
        <family val="2"/>
      </rPr>
      <t xml:space="preserve">» </t>
    </r>
    <r>
      <rPr>
        <sz val="12"/>
        <color rgb="FF000000"/>
        <rFont val="Arial"/>
        <family val="2"/>
      </rPr>
      <t xml:space="preserve">Aurubis performance management process developed further into management by objectives (MbO)
</t>
    </r>
    <r>
      <rPr>
        <sz val="12"/>
        <color rgb="FF0076A8"/>
        <rFont val="Arial"/>
        <family val="2"/>
      </rPr>
      <t xml:space="preserve">» </t>
    </r>
    <r>
      <rPr>
        <sz val="12"/>
        <color rgb="FF000000"/>
        <rFont val="Arial"/>
        <family val="2"/>
      </rPr>
      <t>“Leadership” skills requirement updated to include the new company culture (comprising company values, leadership model, feedback culture, error culture)</t>
    </r>
  </si>
  <si>
    <r>
      <rPr>
        <sz val="12"/>
        <color rgb="FF0076A8"/>
        <rFont val="Arial"/>
        <family val="2"/>
      </rPr>
      <t xml:space="preserve">» </t>
    </r>
    <r>
      <rPr>
        <sz val="12"/>
        <color rgb="FF000000"/>
        <rFont val="Arial"/>
        <family val="2"/>
      </rPr>
      <t>Initial iteration of cultural design started at a Group and site level</t>
    </r>
  </si>
  <si>
    <r>
      <rPr>
        <sz val="12"/>
        <color rgb="FF0076A8"/>
        <rFont val="Arial"/>
        <family val="2"/>
      </rPr>
      <t xml:space="preserve">» </t>
    </r>
    <r>
      <rPr>
        <sz val="12"/>
        <color rgb="FF000000"/>
        <rFont val="Arial"/>
        <family val="2"/>
      </rPr>
      <t>Group-wide lost time injury frequency rate (LTIFR) over the past 12 months remained at most at the 3.2 per one million working hours benchmark</t>
    </r>
  </si>
  <si>
    <r>
      <rPr>
        <sz val="12"/>
        <color rgb="FF0076A8"/>
        <rFont val="Arial"/>
        <family val="2"/>
      </rPr>
      <t xml:space="preserve">» </t>
    </r>
    <r>
      <rPr>
        <sz val="12"/>
        <color rgb="FF000000"/>
        <rFont val="Arial"/>
        <family val="2"/>
      </rPr>
      <t xml:space="preserve">Group-wide LTIFR at or below the 2.4 benchmark
</t>
    </r>
    <r>
      <rPr>
        <sz val="12"/>
        <color rgb="FF0076A8"/>
        <rFont val="Arial"/>
        <family val="2"/>
      </rPr>
      <t xml:space="preserve">» </t>
    </r>
    <r>
      <rPr>
        <sz val="12"/>
        <color rgb="FF000000"/>
        <rFont val="Arial"/>
        <family val="2"/>
      </rPr>
      <t xml:space="preserve">Established structures and processes for significantly improving safety performance at Aurubis based on recognized best practice assessment method. Initial effective measures implemented that enable employees to proactively identify and mitigate risks.
</t>
    </r>
    <r>
      <rPr>
        <sz val="12"/>
        <color rgb="FF0076A8"/>
        <rFont val="Arial"/>
        <family val="2"/>
      </rPr>
      <t xml:space="preserve">» </t>
    </r>
    <r>
      <rPr>
        <sz val="12"/>
        <color rgb="FF000000"/>
        <rFont val="Arial"/>
        <family val="2"/>
      </rPr>
      <t>Develop appropriate CSRD reporting and further improve the Internal Control System (ICS) in coordination with the auditors</t>
    </r>
  </si>
  <si>
    <r>
      <rPr>
        <sz val="12"/>
        <color rgb="FF0076A8"/>
        <rFont val="Arial"/>
        <family val="2"/>
      </rPr>
      <t xml:space="preserve">» </t>
    </r>
    <r>
      <rPr>
        <sz val="12"/>
        <color rgb="FF000000"/>
        <rFont val="Arial"/>
        <family val="2"/>
      </rPr>
      <t xml:space="preserve">Group-wide LTIFR at or below the 2.0 benchmark
</t>
    </r>
    <r>
      <rPr>
        <sz val="12"/>
        <color rgb="FF0076A8"/>
        <rFont val="Arial"/>
        <family val="2"/>
      </rPr>
      <t xml:space="preserve">» </t>
    </r>
    <r>
      <rPr>
        <sz val="12"/>
        <color rgb="FF000000"/>
        <rFont val="Arial"/>
        <family val="2"/>
      </rPr>
      <t>Governance: Conclusion and Supervisory Board agreement to strategy review</t>
    </r>
  </si>
  <si>
    <r>
      <t xml:space="preserve">Based on an annual self-assessment carried out by the Supervisory Board. A check mark means at least good knowledge (2) on a scale of 1 (very good knowledge) to 6 (no knowledge).
</t>
    </r>
    <r>
      <rPr>
        <vertAlign val="superscript"/>
        <sz val="10"/>
        <color rgb="FF1D1D1D"/>
        <rFont val="Arial"/>
        <family val="2"/>
      </rPr>
      <t>1</t>
    </r>
    <r>
      <rPr>
        <sz val="10"/>
        <color rgb="FF1D1D1D"/>
        <rFont val="Arial"/>
        <family val="2"/>
      </rPr>
      <t xml:space="preserve"> Elected by the employees.
</t>
    </r>
    <r>
      <rPr>
        <vertAlign val="superscript"/>
        <sz val="10"/>
        <color rgb="FF1D1D1D"/>
        <rFont val="Arial"/>
        <family val="2"/>
      </rPr>
      <t>2</t>
    </r>
    <r>
      <rPr>
        <sz val="10"/>
        <color rgb="FF1D1D1D"/>
        <rFont val="Arial"/>
        <family val="2"/>
      </rPr>
      <t xml:space="preserve"> CEO of the majority shareholder Salzgitter AG, independent within the meaning of C.7 of the DCGK.</t>
    </r>
  </si>
  <si>
    <t>Variable 
compensation</t>
  </si>
  <si>
    <t>Maximum compensation pursuant to Section 87a of the German Stock Corporation Act (AktG)</t>
  </si>
  <si>
    <t>Premature termination of Executive Board contract</t>
  </si>
  <si>
    <t>50.0</t>
  </si>
  <si>
    <t>100.0</t>
  </si>
  <si>
    <t>150.0</t>
  </si>
  <si>
    <t>82.2</t>
  </si>
  <si>
    <r>
      <rPr>
        <sz val="12"/>
        <color rgb="FF0076A8"/>
        <rFont val="Arial"/>
        <family val="2"/>
      </rPr>
      <t xml:space="preserve">» </t>
    </r>
    <r>
      <rPr>
        <sz val="12"/>
        <color rgb="FF000000"/>
        <rFont val="Arial"/>
        <family val="2"/>
      </rPr>
      <t xml:space="preserve">Culture target image communicated at all levels and feedback loop for employee concerns and suggestions established
</t>
    </r>
    <r>
      <rPr>
        <sz val="12"/>
        <color rgb="FF0576A7"/>
        <rFont val="Arial"/>
        <family val="2"/>
      </rPr>
      <t>»</t>
    </r>
    <r>
      <rPr>
        <sz val="12"/>
        <color rgb="FF000000"/>
        <rFont val="Arial"/>
        <family val="2"/>
      </rPr>
      <t xml:space="preserve"> Questionnaire on assessing the cultural climate incorporated and central culture KPIs derived</t>
    </r>
  </si>
  <si>
    <t>The payout was limited to 150 % of the initial value in accordance with the compensation system.</t>
  </si>
  <si>
    <t>6.0</t>
  </si>
  <si>
    <t>12.0</t>
  </si>
  <si>
    <t>15.0</t>
  </si>
  <si>
    <t>125.0</t>
  </si>
  <si>
    <t>105.4</t>
  </si>
  <si>
    <t>12.7</t>
  </si>
  <si>
    <t>2</t>
  </si>
  <si>
    <t>20</t>
  </si>
  <si>
    <t>28</t>
  </si>
  <si>
    <t>25</t>
  </si>
  <si>
    <t>29</t>
  </si>
  <si>
    <t>409,200</t>
  </si>
  <si>
    <t>463,833</t>
  </si>
  <si>
    <t>47</t>
  </si>
  <si>
    <t>53</t>
  </si>
  <si>
    <t>1ßß</t>
  </si>
  <si>
    <t>80</t>
  </si>
  <si>
    <t>65</t>
  </si>
  <si>
    <t>68</t>
  </si>
  <si>
    <t>62</t>
  </si>
  <si>
    <t>66</t>
  </si>
  <si>
    <t>69</t>
  </si>
  <si>
    <t>16</t>
  </si>
  <si>
    <t>26</t>
  </si>
  <si>
    <t>23</t>
  </si>
  <si>
    <t>21</t>
  </si>
  <si>
    <t>8</t>
  </si>
  <si>
    <t>5</t>
  </si>
  <si>
    <t>10</t>
  </si>
  <si>
    <t>7</t>
  </si>
  <si>
    <t>73</t>
  </si>
  <si>
    <t>49</t>
  </si>
  <si>
    <t>60</t>
  </si>
  <si>
    <t>72</t>
  </si>
  <si>
    <t>79</t>
  </si>
  <si>
    <t>30</t>
  </si>
  <si>
    <t>1,019</t>
  </si>
  <si>
    <t>1,012</t>
  </si>
  <si>
    <r>
      <rPr>
        <vertAlign val="superscript"/>
        <sz val="10"/>
        <color rgb="FF000000"/>
        <rFont val="Arial"/>
        <family val="2"/>
      </rPr>
      <t>1</t>
    </r>
    <r>
      <rPr>
        <sz val="10"/>
        <color rgb="FF1D1D1D"/>
        <rFont val="Arial"/>
        <family val="2"/>
      </rPr>
      <t xml:space="preserve">Xetra disclosures. </t>
    </r>
  </si>
  <si>
    <t>27</t>
  </si>
  <si>
    <t>1.5</t>
  </si>
  <si>
    <t>65.85</t>
  </si>
  <si>
    <t>82.50</t>
  </si>
  <si>
    <t>57.36</t>
  </si>
  <si>
    <t>1.50</t>
  </si>
  <si>
    <t>7.66</t>
  </si>
  <si>
    <t>2.3</t>
  </si>
  <si>
    <t>101.40</t>
  </si>
  <si>
    <t>53.50</t>
  </si>
  <si>
    <t>2.0</t>
  </si>
  <si>
    <t>3.3</t>
  </si>
  <si>
    <t>2.4</t>
  </si>
  <si>
    <t>1,021</t>
  </si>
  <si>
    <r>
      <rPr>
        <vertAlign val="superscript"/>
        <sz val="10"/>
        <color rgb="FF000000"/>
        <rFont val="Arial"/>
        <family val="2"/>
      </rPr>
      <t>1</t>
    </r>
    <r>
      <rPr>
        <sz val="10"/>
        <color rgb="FF000000"/>
        <rFont val="Arial"/>
        <family val="2"/>
      </rPr>
      <t>Including agency/independent sales employees.</t>
    </r>
  </si>
  <si>
    <t>Earnings before interest and taxes (EBIT) – operating</t>
  </si>
  <si>
    <t>37</t>
  </si>
  <si>
    <t>34</t>
  </si>
  <si>
    <t>Explanation of the presentation and the adjustment effects in Financial performance, assets, liabilities and financial position of the Aurubis Group.</t>
  </si>
  <si>
    <r>
      <rPr>
        <vertAlign val="superscript"/>
        <sz val="10"/>
        <color rgb="FF000000"/>
        <rFont val="Arial"/>
        <family val="2"/>
      </rPr>
      <t>1</t>
    </r>
    <r>
      <rPr>
        <sz val="10"/>
        <color rgb="FF000000"/>
        <rFont val="Arial"/>
        <family val="2"/>
      </rPr>
      <t>(-) assets/(+) debt</t>
    </r>
  </si>
  <si>
    <t>Key figures Multimetal Recycling segment</t>
  </si>
  <si>
    <t>Key figures Custom Smelting &amp; Products segment</t>
  </si>
  <si>
    <r>
      <rPr>
        <vertAlign val="superscript"/>
        <sz val="10"/>
        <color rgb="FF1D1D1D"/>
        <rFont val="Arial"/>
        <family val="2"/>
      </rPr>
      <t>1</t>
    </r>
    <r>
      <rPr>
        <sz val="10"/>
        <color rgb="FF1D1D1D"/>
        <rFont val="Arial"/>
        <family val="2"/>
      </rPr>
      <t>Includes industrial and municipal waste of biologic origin, biogas, hydrogen from renewable sources</t>
    </r>
  </si>
  <si>
    <r>
      <t>Energy intensity per net revenue</t>
    </r>
    <r>
      <rPr>
        <b/>
        <vertAlign val="superscript"/>
        <sz val="16"/>
        <color rgb="FF000000"/>
        <rFont val="Arial"/>
        <family val="2"/>
      </rPr>
      <t>1</t>
    </r>
  </si>
  <si>
    <r>
      <rPr>
        <vertAlign val="superscript"/>
        <sz val="10"/>
        <color rgb="FF1D1D1D"/>
        <rFont val="Arial"/>
        <family val="2"/>
      </rPr>
      <t>1</t>
    </r>
    <r>
      <rPr>
        <sz val="10"/>
        <color rgb="FF1D1D1D"/>
        <rFont val="Arial"/>
        <family val="2"/>
      </rPr>
      <t>Turnover is not segmented pursuant to NACE codes in the financial reporting, so we base the calculation of the metric on total turnover. Aurubis does not view this metric as relevant for control purposes, since it neither conveys the specific demands of the business model, nor does it ensure a meaningful comparison between different periods. The calculation is based on the turnover provided in the consolidated financial statements, see</t>
    </r>
    <r>
      <rPr>
        <sz val="10"/>
        <color theme="1"/>
        <rFont val="Arial"/>
        <family val="2"/>
      </rPr>
      <t xml:space="preserve"> Consolidated Financial Statements, Consolidated Income Statement.</t>
    </r>
  </si>
  <si>
    <r>
      <t>Relative Scope 3 emissions per  ton of copper cathode</t>
    </r>
    <r>
      <rPr>
        <b/>
        <vertAlign val="superscript"/>
        <sz val="12"/>
        <color rgb="FF000000"/>
        <rFont val="Arial"/>
        <family val="2"/>
      </rPr>
      <t>2</t>
    </r>
  </si>
  <si>
    <t>4.1</t>
  </si>
  <si>
    <t>0.299</t>
  </si>
  <si>
    <t>4.5</t>
  </si>
  <si>
    <r>
      <rPr>
        <vertAlign val="superscript"/>
        <sz val="10"/>
        <color rgb="FF1D1D1D"/>
        <rFont val="Arial"/>
        <family val="2"/>
      </rPr>
      <t>1</t>
    </r>
    <r>
      <rPr>
        <sz val="10"/>
        <color rgb="FF1D1D1D"/>
        <rFont val="Arial"/>
        <family val="2"/>
      </rPr>
      <t>The proportion of primary and secondary resource inflows cannot be compared to the recycling rate, for example of the cathode. The higher resource inflow from primary sources (concentrates) results from lower copper content on average compared to secondary sources (recycling material).</t>
    </r>
  </si>
  <si>
    <t>Characteristics of the undertaking’s employees</t>
  </si>
  <si>
    <t>Number of employees (head count)</t>
  </si>
  <si>
    <t>Collective bargaining coverage and social dialogue</t>
  </si>
  <si>
    <t>of which fatalities of own workforce</t>
  </si>
  <si>
    <r>
      <rPr>
        <vertAlign val="superscript"/>
        <sz val="10"/>
        <color rgb="FF000000"/>
        <rFont val="Arial"/>
        <family val="2"/>
      </rPr>
      <t>1</t>
    </r>
    <r>
      <rPr>
        <sz val="10"/>
        <color rgb="FF1D1D1D"/>
        <rFont val="Arial"/>
        <family val="2"/>
      </rPr>
      <t xml:space="preserve">Includes all employees working at Aurubis sites. Temporary workers are employed by a temporary employment agency and not by Aurubis directly. Managerial authority is transferred to the hirer (Aurubis), who is responsible for health and safety. An employee of an external company, on the other hand, is a person who is directly employed by a legal entity and is contracted by Aurubis to perform work or deliver services. </t>
    </r>
  </si>
  <si>
    <t>Incidents, complaints and severe human rights impacts</t>
  </si>
  <si>
    <r>
      <rPr>
        <vertAlign val="superscript"/>
        <sz val="10"/>
        <color rgb="FF000000"/>
        <rFont val="Arial"/>
        <family val="2"/>
      </rPr>
      <t>1</t>
    </r>
    <r>
      <rPr>
        <sz val="10"/>
        <color rgb="FF1D1D1D"/>
        <rFont val="Arial"/>
        <family val="2"/>
      </rPr>
      <t>We also consider complaints that have been submitted to the national points of contact for multinational OECD undertakings regarding defined topics, though cases that have already been reported are excluded. No complaints were submitted in fiscal year 2024/25.</t>
    </r>
  </si>
  <si>
    <t>Minimum safeguards</t>
  </si>
  <si>
    <t>Share of CapEx/total CapEx</t>
  </si>
  <si>
    <t>8.8</t>
  </si>
  <si>
    <t>11.5</t>
  </si>
  <si>
    <t>11.3</t>
  </si>
  <si>
    <t>19.0</t>
  </si>
  <si>
    <t>16.5</t>
  </si>
  <si>
    <t>4,774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</si>
</sst>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0;&quot;-&quot;#0;#0;_(@_)"/>
    <numFmt numFmtId="165" formatCode="* #,##0.0;* \(#,##0.0\);* &quot;—&quot;;_(@_)"/>
    <numFmt numFmtId="166" formatCode="#0.0_)%;\(#0.0\)%;&quot;—&quot;_)\%;_(@_)"/>
    <numFmt numFmtId="167" formatCode="#0_)%;\(#0\)%;&quot;—&quot;_)\%;_(@_)"/>
    <numFmt numFmtId="168" formatCode="#0_)%;\(#0\)%;#0_)%;_(@_)"/>
    <numFmt numFmtId="169" formatCode="* #,##0;* \(#,##0\);* &quot;—&quot;;_(@_)"/>
    <numFmt numFmtId="170" formatCode="#0.0%_);\(#0.0%\);&quot;&quot;\%_);_(@_)"/>
    <numFmt numFmtId="171" formatCode="#0.0%_);\(#0.0%\);#0.0%_);_(@_)"/>
    <numFmt numFmtId="172" formatCode="* #,##0;* &quot;-&quot;#,##0;* #,##0;_(@_)"/>
    <numFmt numFmtId="173" formatCode="#,##0;&quot;-&quot;#,##0;#,##0;_(@_)"/>
    <numFmt numFmtId="174" formatCode="#,##0.00;&quot;-&quot;#,##0.00;#,##0.00;_(@_)"/>
    <numFmt numFmtId="175" formatCode="* #,##0.00;* \(#,##0.00\);* &quot;—&quot;;_(@_)"/>
    <numFmt numFmtId="176" formatCode="#0.0%;&quot;-&quot;#0.0%;#0.0%;_(@_)"/>
    <numFmt numFmtId="177" formatCode="#,##0;&quot;-&quot;#,##0;&quot;-&quot;;_(@_)"/>
    <numFmt numFmtId="178" formatCode="* #,##0.0;* &quot;-&quot;#,##0.0;* #,##0.0;_(@_)"/>
    <numFmt numFmtId="179" formatCode="* #,##0;* &quot;-&quot;#,##0;* &quot;—&quot;;_(@_)"/>
    <numFmt numFmtId="180" formatCode="* #,##0;* \(#,##0\);* #,##0;_(@_)"/>
    <numFmt numFmtId="181" formatCode="#,##0.000;&quot;-&quot;#,##0.000;#,##0.000;_(@_)"/>
    <numFmt numFmtId="182" formatCode="#0&quot; &quot;%_);\(#0&quot; &quot;%\);#0&quot; &quot;%_);_(@_)"/>
    <numFmt numFmtId="183" formatCode="#,##0.0;&quot;-&quot;#,##0.0;#,##0.0;_(@_)"/>
    <numFmt numFmtId="184" formatCode="* #,##0.00;* &quot;-&quot;#,##0.00;* #,##0.00;_(@_)"/>
  </numFmts>
  <fonts count="57">
    <font>
      <sz val="10"/>
      <name val="Arial"/>
    </font>
    <font>
      <sz val="9"/>
      <color rgb="FF000000"/>
      <name val="Arial"/>
      <family val="2"/>
    </font>
    <font>
      <sz val="9.5"/>
      <color rgb="FFFF0090"/>
      <name val="Arial"/>
      <family val="2"/>
    </font>
    <font>
      <sz val="8.5"/>
      <color rgb="FF1D1D1D"/>
      <name val="Arial"/>
      <family val="2"/>
    </font>
    <font>
      <sz val="11"/>
      <color rgb="FF3391B9"/>
      <name val="Arial"/>
      <family val="2"/>
    </font>
    <font>
      <sz val="9.5"/>
      <color rgb="FF3391B9"/>
      <name val="Arial"/>
      <family val="2"/>
    </font>
    <font>
      <sz val="8"/>
      <color rgb="FF1D1D1D"/>
      <name val="Arial"/>
      <family val="2"/>
    </font>
    <font>
      <sz val="10"/>
      <color rgb="FF1D1D1D"/>
      <name val="Arial"/>
      <family val="2"/>
    </font>
    <font>
      <sz val="7.5"/>
      <color rgb="FF1D1D1D"/>
      <name val="Arial"/>
      <family val="2"/>
    </font>
    <font>
      <i/>
      <sz val="16"/>
      <color rgb="FF1D1D1D"/>
      <name val="Arial"/>
      <family val="2"/>
    </font>
    <font>
      <sz val="9.5"/>
      <color rgb="FF0076A7"/>
      <name val="Arial"/>
      <family val="2"/>
    </font>
    <font>
      <sz val="8.5"/>
      <color rgb="FF0076A7"/>
      <name val="Arial"/>
      <family val="2"/>
    </font>
    <font>
      <sz val="9.5"/>
      <color rgb="FF1D1D1D"/>
      <name val="Arial"/>
      <family val="2"/>
    </font>
    <font>
      <sz val="7.5"/>
      <color rgb="FF0076A7"/>
      <name val="Arial"/>
      <family val="2"/>
    </font>
    <font>
      <sz val="36"/>
      <color rgb="FF0076A7"/>
      <name val="Arial"/>
      <family val="2"/>
    </font>
    <font>
      <sz val="9.5"/>
      <color rgb="FF66ADCA"/>
      <name val="Arial"/>
      <family val="2"/>
    </font>
    <font>
      <i/>
      <sz val="9.5"/>
      <color rgb="FF66ADCA"/>
      <name val="Arial"/>
      <family val="2"/>
    </font>
    <font>
      <sz val="13"/>
      <color rgb="FF0076A7"/>
      <name val="Arial"/>
      <family val="2"/>
    </font>
    <font>
      <sz val="12"/>
      <color rgb="FF1D1D1D"/>
      <name val="Arial"/>
      <family val="2"/>
    </font>
    <font>
      <sz val="30"/>
      <color rgb="FF0076A7"/>
      <name val="Arial"/>
      <family val="2"/>
    </font>
    <font>
      <b/>
      <sz val="12"/>
      <color rgb="FF0076A7"/>
      <name val="Arial"/>
      <family val="2"/>
    </font>
    <font>
      <b/>
      <sz val="20"/>
      <color rgb="FF0076A7"/>
      <name val="Arial"/>
      <family val="2"/>
    </font>
    <font>
      <u/>
      <sz val="10"/>
      <color rgb="FF0563C1"/>
      <name val="Verdana"/>
      <family val="2"/>
    </font>
    <font>
      <b/>
      <sz val="16"/>
      <color rgb="FF000000"/>
      <name val="Arial"/>
      <family val="2"/>
    </font>
    <font>
      <sz val="12"/>
      <color rgb="FF000000"/>
      <name val="Arial"/>
      <family val="2"/>
    </font>
    <font>
      <b/>
      <sz val="12"/>
      <color rgb="FF1D1D1D"/>
      <name val="Arial"/>
      <family val="2"/>
    </font>
    <font>
      <b/>
      <sz val="12"/>
      <color rgb="FFA2461B"/>
      <name val="Arial"/>
      <family val="2"/>
    </font>
    <font>
      <b/>
      <sz val="12"/>
      <color rgb="FF000000"/>
      <name val="Arial"/>
      <family val="2"/>
    </font>
    <font>
      <b/>
      <sz val="12"/>
      <color rgb="FF0C6296"/>
      <name val="Arial"/>
      <family val="2"/>
    </font>
    <font>
      <sz val="12"/>
      <color rgb="FF0076A7"/>
      <name val="Arial"/>
      <family val="2"/>
    </font>
    <font>
      <sz val="10"/>
      <color rgb="FF000000"/>
      <name val="Arial"/>
      <family val="2"/>
    </font>
    <font>
      <sz val="11"/>
      <color rgb="FF000000"/>
      <name val="Arial"/>
      <family val="2"/>
    </font>
    <font>
      <b/>
      <sz val="12"/>
      <color rgb="FF0076A9"/>
      <name val="Arial"/>
      <family val="2"/>
    </font>
    <font>
      <sz val="12"/>
      <color rgb="FF000000"/>
      <name val="Times New Roman"/>
      <family val="1"/>
    </font>
    <font>
      <b/>
      <sz val="16"/>
      <color rgb="FF1D1D1D"/>
      <name val="Arial"/>
      <family val="2"/>
    </font>
    <font>
      <sz val="12"/>
      <color rgb="FFA2461B"/>
      <name val="Arial"/>
      <family val="2"/>
    </font>
    <font>
      <sz val="10"/>
      <name val="Arial"/>
      <family val="2"/>
    </font>
    <font>
      <vertAlign val="superscript"/>
      <sz val="12"/>
      <color rgb="FF1D1D1D"/>
      <name val="Arial"/>
      <family val="2"/>
    </font>
    <font>
      <vertAlign val="superscript"/>
      <sz val="10"/>
      <color rgb="FF1D1D1D"/>
      <name val="Arial"/>
      <family val="2"/>
    </font>
    <font>
      <vertAlign val="superscript"/>
      <sz val="12"/>
      <color rgb="FF000000"/>
      <name val="Arial"/>
      <family val="2"/>
    </font>
    <font>
      <b/>
      <vertAlign val="superscript"/>
      <sz val="16"/>
      <color rgb="FF000000"/>
      <name val="Arial"/>
      <family val="2"/>
    </font>
    <font>
      <vertAlign val="superscript"/>
      <sz val="10"/>
      <color rgb="FF000000"/>
      <name val="Arial"/>
      <family val="2"/>
    </font>
    <font>
      <vertAlign val="superscript"/>
      <sz val="10"/>
      <color rgb="FF000000"/>
      <name val="Kievit for Aurubis Light"/>
    </font>
    <font>
      <sz val="10"/>
      <color rgb="FF0076A7"/>
      <name val="Arial"/>
      <family val="2"/>
    </font>
    <font>
      <vertAlign val="subscript"/>
      <sz val="12"/>
      <color rgb="FF000000"/>
      <name val="Arial"/>
      <family val="2"/>
    </font>
    <font>
      <b/>
      <vertAlign val="superscript"/>
      <sz val="12"/>
      <color rgb="FF000000"/>
      <name val="Arial"/>
      <family val="2"/>
    </font>
    <font>
      <vertAlign val="subscript"/>
      <sz val="12"/>
      <color rgb="FF1D1D1D"/>
      <name val="Arial"/>
      <family val="2"/>
    </font>
    <font>
      <b/>
      <vertAlign val="superscript"/>
      <sz val="12"/>
      <color rgb="FF0076A7"/>
      <name val="Arial"/>
      <family val="2"/>
    </font>
    <font>
      <b/>
      <vertAlign val="superscript"/>
      <sz val="12"/>
      <color rgb="FF1D1D1D"/>
      <name val="Arial"/>
      <family val="2"/>
    </font>
    <font>
      <sz val="12"/>
      <color rgb="FF0076A8"/>
      <name val="Arial"/>
      <family val="2"/>
    </font>
    <font>
      <sz val="8"/>
      <name val="Arial"/>
      <family val="2"/>
    </font>
    <font>
      <sz val="12"/>
      <name val="Aptos"/>
    </font>
    <font>
      <sz val="12"/>
      <name val="Arial"/>
      <family val="2"/>
    </font>
    <font>
      <sz val="12"/>
      <color rgb="FF0576A7"/>
      <name val="Arial"/>
      <family val="2"/>
    </font>
    <font>
      <sz val="10"/>
      <color theme="1"/>
      <name val="Arial"/>
      <family val="2"/>
    </font>
    <font>
      <b/>
      <sz val="12"/>
      <color rgb="FF0576A7"/>
      <name val="Arial"/>
      <family val="2"/>
    </font>
    <font>
      <u/>
      <sz val="10"/>
      <color rgb="FF0563C1"/>
      <name val="Arial"/>
      <family val="2"/>
    </font>
  </fonts>
  <fills count="6">
    <fill>
      <patternFill patternType="none"/>
    </fill>
    <fill>
      <patternFill patternType="gray125"/>
    </fill>
    <fill>
      <patternFill patternType="solid">
        <fgColor rgb="FFD9EAF1"/>
        <bgColor indexed="64"/>
      </patternFill>
    </fill>
    <fill>
      <patternFill patternType="solid">
        <fgColor rgb="FFDAE6F0"/>
        <bgColor indexed="64"/>
      </patternFill>
    </fill>
    <fill>
      <patternFill patternType="solid">
        <fgColor rgb="FFFFFFFF"/>
        <bgColor indexed="64"/>
      </patternFill>
    </fill>
    <fill>
      <patternFill patternType="solid">
        <fgColor theme="2" tint="-9.9978637043366805E-2"/>
        <bgColor indexed="64"/>
      </patternFill>
    </fill>
  </fills>
  <borders count="39">
    <border>
      <left/>
      <right/>
      <top/>
      <bottom/>
      <diagonal/>
    </border>
    <border>
      <left/>
      <right/>
      <top style="thin">
        <color rgb="FF1D1D1D"/>
      </top>
      <bottom style="thin">
        <color rgb="FF1D1D1D"/>
      </bottom>
      <diagonal/>
    </border>
    <border>
      <left/>
      <right/>
      <top style="thin">
        <color rgb="FF0076A7"/>
      </top>
      <bottom/>
      <diagonal/>
    </border>
    <border>
      <left style="thin">
        <color rgb="FFFFFFFF"/>
      </left>
      <right/>
      <top/>
      <bottom/>
      <diagonal/>
    </border>
    <border>
      <left/>
      <right/>
      <top/>
      <bottom style="medium">
        <color rgb="FF0076A7"/>
      </bottom>
      <diagonal/>
    </border>
    <border>
      <left/>
      <right/>
      <top style="medium">
        <color rgb="FF0076A7"/>
      </top>
      <bottom style="thin">
        <color rgb="FF0076A7"/>
      </bottom>
      <diagonal/>
    </border>
    <border>
      <left/>
      <right/>
      <top/>
      <bottom style="thin">
        <color rgb="FF0076A7"/>
      </bottom>
      <diagonal/>
    </border>
    <border>
      <left/>
      <right/>
      <top style="thin">
        <color rgb="FF0076A7"/>
      </top>
      <bottom style="thin">
        <color rgb="FF0076A7"/>
      </bottom>
      <diagonal/>
    </border>
    <border>
      <left style="thin">
        <color rgb="FFFFFFFF"/>
      </left>
      <right/>
      <top style="thin">
        <color rgb="FF0076A7"/>
      </top>
      <bottom style="thin">
        <color rgb="FF0076A7"/>
      </bottom>
      <diagonal/>
    </border>
    <border>
      <left style="thin">
        <color rgb="FFFFFFFF"/>
      </left>
      <right/>
      <top style="thin">
        <color rgb="FF0076A7"/>
      </top>
      <bottom style="thin">
        <color rgb="FFFFFFFF"/>
      </bottom>
      <diagonal/>
    </border>
    <border>
      <left style="thin">
        <color rgb="FFFFFFFF"/>
      </left>
      <right/>
      <top style="thin">
        <color rgb="FFFFFFFF"/>
      </top>
      <bottom style="thin">
        <color rgb="FF0076A7"/>
      </bottom>
      <diagonal/>
    </border>
    <border>
      <left style="thin">
        <color rgb="FFFFFFFF"/>
      </left>
      <right/>
      <top style="thin">
        <color rgb="FF0076A7"/>
      </top>
      <bottom/>
      <diagonal/>
    </border>
    <border>
      <left style="thin">
        <color rgb="FFFFFFFF"/>
      </left>
      <right/>
      <top/>
      <bottom style="medium">
        <color rgb="FF0575A7"/>
      </bottom>
      <diagonal/>
    </border>
    <border>
      <left/>
      <right/>
      <top style="thin">
        <color rgb="FF0076A7"/>
      </top>
      <bottom style="medium">
        <color rgb="FF0575A7"/>
      </bottom>
      <diagonal/>
    </border>
    <border>
      <left/>
      <right/>
      <top style="medium">
        <color rgb="FF0575A7"/>
      </top>
      <bottom/>
      <diagonal/>
    </border>
    <border>
      <left/>
      <right/>
      <top style="thin">
        <color rgb="FF0076A7"/>
      </top>
      <bottom style="medium">
        <color rgb="FF0076A7"/>
      </bottom>
      <diagonal/>
    </border>
    <border>
      <left/>
      <right/>
      <top style="medium">
        <color rgb="FF0076A7"/>
      </top>
      <bottom/>
      <diagonal/>
    </border>
    <border>
      <left/>
      <right/>
      <top style="medium">
        <color rgb="FF0076A7"/>
      </top>
      <bottom style="medium">
        <color rgb="FF0076A7"/>
      </bottom>
      <diagonal/>
    </border>
    <border>
      <left style="thick">
        <color rgb="FFFFFFFF"/>
      </left>
      <right/>
      <top style="medium">
        <color rgb="FF0076A7"/>
      </top>
      <bottom style="thin">
        <color rgb="FF0076A7"/>
      </bottom>
      <diagonal/>
    </border>
    <border>
      <left style="thin">
        <color rgb="FFFFFFFF"/>
      </left>
      <right/>
      <top style="medium">
        <color rgb="FF0076A7"/>
      </top>
      <bottom style="thin">
        <color rgb="FF0076A7"/>
      </bottom>
      <diagonal/>
    </border>
    <border>
      <left style="thin">
        <color rgb="FFFFFFFF"/>
      </left>
      <right/>
      <top style="thin">
        <color rgb="FF0076A7"/>
      </top>
      <bottom style="medium">
        <color rgb="FF0076A7"/>
      </bottom>
      <diagonal/>
    </border>
    <border>
      <left style="thin">
        <color rgb="FFFFFFFF"/>
      </left>
      <right/>
      <top/>
      <bottom style="medium">
        <color rgb="FF0076A7"/>
      </bottom>
      <diagonal/>
    </border>
    <border>
      <left/>
      <right/>
      <top style="medium">
        <color rgb="FF0076A7"/>
      </top>
      <bottom style="thin">
        <color rgb="FF1D1D1D"/>
      </bottom>
      <diagonal/>
    </border>
    <border>
      <left/>
      <right/>
      <top style="thin">
        <color rgb="FF1D1D1D"/>
      </top>
      <bottom style="medium">
        <color rgb="FF0076A7"/>
      </bottom>
      <diagonal/>
    </border>
    <border>
      <left/>
      <right/>
      <top style="thin">
        <color rgb="FF0076A7"/>
      </top>
      <bottom style="medium">
        <color rgb="FF1086C1"/>
      </bottom>
      <diagonal/>
    </border>
    <border>
      <left/>
      <right/>
      <top style="medium">
        <color rgb="FF1086C1"/>
      </top>
      <bottom/>
      <diagonal/>
    </border>
    <border>
      <left/>
      <right/>
      <top style="medium">
        <color rgb="FF0576A7"/>
      </top>
      <bottom style="thin">
        <color rgb="FF0576A7"/>
      </bottom>
      <diagonal/>
    </border>
    <border>
      <left/>
      <right/>
      <top style="thin">
        <color rgb="FF0576A7"/>
      </top>
      <bottom style="thin">
        <color rgb="FF0576A7"/>
      </bottom>
      <diagonal/>
    </border>
    <border>
      <left/>
      <right/>
      <top style="thin">
        <color rgb="FF0576A7"/>
      </top>
      <bottom style="medium">
        <color rgb="FF0576A7"/>
      </bottom>
      <diagonal/>
    </border>
    <border>
      <left style="thick">
        <color rgb="FFFFFFFF"/>
      </left>
      <right/>
      <top style="medium">
        <color rgb="FF0576A7"/>
      </top>
      <bottom/>
      <diagonal/>
    </border>
    <border>
      <left/>
      <right/>
      <top/>
      <bottom style="medium">
        <color rgb="FF0576A7"/>
      </bottom>
      <diagonal/>
    </border>
    <border>
      <left/>
      <right style="medium">
        <color rgb="FF0076A7"/>
      </right>
      <top/>
      <bottom style="medium">
        <color rgb="FF0076A7"/>
      </bottom>
      <diagonal/>
    </border>
    <border>
      <left/>
      <right style="medium">
        <color rgb="FF0076A7"/>
      </right>
      <top style="medium">
        <color rgb="FF0076A7"/>
      </top>
      <bottom style="medium">
        <color rgb="FF0076A7"/>
      </bottom>
      <diagonal/>
    </border>
    <border>
      <left/>
      <right style="medium">
        <color rgb="FF0076A7"/>
      </right>
      <top style="medium">
        <color rgb="FF0076A7"/>
      </top>
      <bottom style="thin">
        <color rgb="FF0076A7"/>
      </bottom>
      <diagonal/>
    </border>
    <border>
      <left/>
      <right style="medium">
        <color rgb="FF0076A7"/>
      </right>
      <top style="thin">
        <color rgb="FF0076A7"/>
      </top>
      <bottom style="thin">
        <color rgb="FF0076A7"/>
      </bottom>
      <diagonal/>
    </border>
    <border>
      <left/>
      <right style="medium">
        <color rgb="FF0076A7"/>
      </right>
      <top style="thin">
        <color rgb="FF0076A7"/>
      </top>
      <bottom style="medium">
        <color rgb="FF0076A7"/>
      </bottom>
      <diagonal/>
    </border>
    <border>
      <left/>
      <right style="thin">
        <color rgb="FF0076A7"/>
      </right>
      <top style="medium">
        <color rgb="FF0076A7"/>
      </top>
      <bottom/>
      <diagonal/>
    </border>
    <border>
      <left/>
      <right style="thin">
        <color rgb="FF0076A7"/>
      </right>
      <top style="thin">
        <color rgb="FF0576A7"/>
      </top>
      <bottom style="thin">
        <color rgb="FF0576A7"/>
      </bottom>
      <diagonal/>
    </border>
    <border>
      <left/>
      <right style="thin">
        <color rgb="FF0076A7"/>
      </right>
      <top/>
      <bottom style="medium">
        <color rgb="FF0076A7"/>
      </bottom>
      <diagonal/>
    </border>
  </borders>
  <cellStyleXfs count="26">
    <xf numFmtId="0" fontId="0" fillId="0" borderId="0"/>
    <xf numFmtId="0" fontId="1" fillId="0" borderId="0" applyBorder="0">
      <alignment horizontal="left" wrapText="1"/>
    </xf>
    <xf numFmtId="0" fontId="2" fillId="0" borderId="0" applyBorder="0">
      <alignment horizontal="left" wrapText="1"/>
    </xf>
    <xf numFmtId="0" fontId="4" fillId="0" borderId="0" applyBorder="0">
      <alignment horizontal="left" wrapText="1"/>
    </xf>
    <xf numFmtId="0" fontId="5" fillId="0" borderId="0" applyBorder="0">
      <alignment horizontal="left" wrapText="1"/>
    </xf>
    <xf numFmtId="0" fontId="6" fillId="0" borderId="0" applyBorder="0">
      <alignment horizontal="left" wrapText="1"/>
    </xf>
    <xf numFmtId="0" fontId="7" fillId="0" borderId="0" applyBorder="0">
      <alignment horizontal="left" wrapText="1"/>
    </xf>
    <xf numFmtId="0" fontId="8" fillId="0" borderId="0" applyBorder="0">
      <alignment horizontal="right" wrapText="1"/>
    </xf>
    <xf numFmtId="0" fontId="9" fillId="0" borderId="0" applyBorder="0">
      <alignment horizontal="left" wrapText="1"/>
    </xf>
    <xf numFmtId="0" fontId="10" fillId="0" borderId="0" applyBorder="0">
      <alignment horizontal="left" wrapText="1"/>
    </xf>
    <xf numFmtId="0" fontId="3" fillId="0" borderId="0" applyBorder="0">
      <alignment horizontal="right" wrapText="1"/>
    </xf>
    <xf numFmtId="0" fontId="3" fillId="0" borderId="0" applyBorder="0">
      <alignment horizontal="right" wrapText="1"/>
    </xf>
    <xf numFmtId="0" fontId="12" fillId="0" borderId="0" applyBorder="0">
      <alignment horizontal="left" wrapText="1"/>
    </xf>
    <xf numFmtId="0" fontId="13" fillId="0" borderId="0" applyBorder="0">
      <alignment horizontal="left" wrapText="1"/>
    </xf>
    <xf numFmtId="0" fontId="14" fillId="0" borderId="0" applyBorder="0">
      <alignment horizontal="left" wrapText="1"/>
    </xf>
    <xf numFmtId="0" fontId="8" fillId="0" borderId="0" applyBorder="0">
      <alignment horizontal="left" wrapText="1"/>
    </xf>
    <xf numFmtId="0" fontId="15" fillId="0" borderId="0" applyBorder="0">
      <alignment horizontal="left" wrapText="1"/>
    </xf>
    <xf numFmtId="0" fontId="16" fillId="0" borderId="0" applyBorder="0">
      <alignment horizontal="left" wrapText="1"/>
    </xf>
    <xf numFmtId="0" fontId="4" fillId="0" borderId="0" applyBorder="0">
      <alignment horizontal="left" wrapText="1"/>
    </xf>
    <xf numFmtId="0" fontId="12" fillId="0" borderId="0" applyBorder="0">
      <alignment horizontal="left" wrapText="1" indent="1"/>
    </xf>
    <xf numFmtId="0" fontId="17" fillId="0" borderId="0" applyBorder="0">
      <alignment horizontal="left" wrapText="1"/>
    </xf>
    <xf numFmtId="0" fontId="18" fillId="0" borderId="0" applyBorder="0">
      <alignment horizontal="left" wrapText="1"/>
    </xf>
    <xf numFmtId="0" fontId="7" fillId="0" borderId="0" applyBorder="0">
      <alignment horizontal="left" wrapText="1"/>
    </xf>
    <xf numFmtId="0" fontId="19" fillId="0" borderId="0" applyBorder="0">
      <alignment horizontal="left" wrapText="1"/>
    </xf>
    <xf numFmtId="0" fontId="17" fillId="0" borderId="0" applyBorder="0">
      <alignment horizontal="left" wrapText="1"/>
    </xf>
    <xf numFmtId="9" fontId="36" fillId="0" borderId="0" applyFont="0" applyFill="0" applyBorder="0" applyAlignment="0" applyProtection="0"/>
  </cellStyleXfs>
  <cellXfs count="396">
    <xf numFmtId="0" fontId="0" fillId="0" borderId="0" xfId="0"/>
    <xf numFmtId="0" fontId="1" fillId="0" borderId="0" xfId="1">
      <alignment horizontal="left" wrapText="1"/>
    </xf>
    <xf numFmtId="0" fontId="18" fillId="0" borderId="0" xfId="21">
      <alignment horizontal="left" wrapText="1"/>
    </xf>
    <xf numFmtId="0" fontId="20" fillId="0" borderId="0" xfId="2" applyFont="1">
      <alignment horizontal="left" wrapText="1"/>
    </xf>
    <xf numFmtId="0" fontId="24" fillId="0" borderId="1" xfId="2" applyFont="1" applyBorder="1">
      <alignment horizontal="left" wrapText="1"/>
    </xf>
    <xf numFmtId="0" fontId="24" fillId="0" borderId="4" xfId="2" applyFont="1" applyBorder="1">
      <alignment horizontal="left" wrapText="1"/>
    </xf>
    <xf numFmtId="0" fontId="24" fillId="0" borderId="5" xfId="2" applyFont="1" applyBorder="1" applyAlignment="1">
      <alignment horizontal="left" vertical="top" wrapText="1"/>
    </xf>
    <xf numFmtId="0" fontId="24" fillId="0" borderId="7" xfId="2" applyFont="1" applyBorder="1" applyAlignment="1">
      <alignment horizontal="left" vertical="top" wrapText="1"/>
    </xf>
    <xf numFmtId="0" fontId="24" fillId="0" borderId="8" xfId="2" applyFont="1" applyBorder="1" applyAlignment="1">
      <alignment horizontal="left" vertical="top" wrapText="1"/>
    </xf>
    <xf numFmtId="0" fontId="24" fillId="0" borderId="9" xfId="2" applyFont="1" applyBorder="1" applyAlignment="1">
      <alignment horizontal="left" vertical="top" wrapText="1"/>
    </xf>
    <xf numFmtId="0" fontId="24" fillId="0" borderId="10" xfId="2" applyFont="1" applyBorder="1" applyAlignment="1">
      <alignment horizontal="left" vertical="top" wrapText="1"/>
    </xf>
    <xf numFmtId="0" fontId="24" fillId="0" borderId="13" xfId="2" applyFont="1" applyBorder="1" applyAlignment="1">
      <alignment horizontal="left" vertical="top" wrapText="1"/>
    </xf>
    <xf numFmtId="0" fontId="1" fillId="0" borderId="14" xfId="2" applyFont="1" applyBorder="1">
      <alignment horizontal="left" wrapText="1"/>
    </xf>
    <xf numFmtId="0" fontId="18" fillId="0" borderId="4" xfId="2" applyFont="1" applyBorder="1" applyAlignment="1">
      <alignment horizontal="center" wrapText="1"/>
    </xf>
    <xf numFmtId="0" fontId="24" fillId="0" borderId="5" xfId="2" applyFont="1" applyBorder="1">
      <alignment horizontal="left" wrapText="1"/>
    </xf>
    <xf numFmtId="164" fontId="24" fillId="0" borderId="5" xfId="2" applyNumberFormat="1" applyFont="1" applyBorder="1" applyAlignment="1">
      <alignment horizontal="center" wrapText="1"/>
    </xf>
    <xf numFmtId="0" fontId="24" fillId="0" borderId="7" xfId="2" applyFont="1" applyBorder="1">
      <alignment horizontal="left" wrapText="1"/>
    </xf>
    <xf numFmtId="0" fontId="27" fillId="0" borderId="7" xfId="2" applyFont="1" applyBorder="1" applyAlignment="1">
      <alignment horizontal="center" wrapText="1"/>
    </xf>
    <xf numFmtId="0" fontId="28" fillId="0" borderId="7" xfId="2" applyFont="1" applyBorder="1" applyAlignment="1">
      <alignment horizontal="center" wrapText="1"/>
    </xf>
    <xf numFmtId="0" fontId="24" fillId="0" borderId="7" xfId="2" applyFont="1" applyBorder="1" applyAlignment="1">
      <alignment horizontal="center" wrapText="1"/>
    </xf>
    <xf numFmtId="164" fontId="24" fillId="0" borderId="7" xfId="2" applyNumberFormat="1" applyFont="1" applyBorder="1" applyAlignment="1">
      <alignment horizontal="center" wrapText="1"/>
    </xf>
    <xf numFmtId="0" fontId="24" fillId="0" borderId="15" xfId="2" applyFont="1" applyBorder="1">
      <alignment horizontal="left" wrapText="1"/>
    </xf>
    <xf numFmtId="0" fontId="28" fillId="0" borderId="15" xfId="2" applyFont="1" applyBorder="1" applyAlignment="1">
      <alignment horizontal="center" wrapText="1"/>
    </xf>
    <xf numFmtId="0" fontId="27" fillId="0" borderId="15" xfId="2" applyFont="1" applyBorder="1" applyAlignment="1">
      <alignment horizontal="center" wrapText="1"/>
    </xf>
    <xf numFmtId="0" fontId="18" fillId="0" borderId="5" xfId="2" applyFont="1" applyBorder="1" applyAlignment="1">
      <alignment horizontal="left" vertical="top" wrapText="1"/>
    </xf>
    <xf numFmtId="0" fontId="18" fillId="0" borderId="7" xfId="2" applyFont="1" applyBorder="1" applyAlignment="1">
      <alignment horizontal="left" vertical="top" wrapText="1"/>
    </xf>
    <xf numFmtId="0" fontId="18" fillId="0" borderId="15" xfId="2" applyFont="1" applyBorder="1" applyAlignment="1">
      <alignment horizontal="left" vertical="top" wrapText="1"/>
    </xf>
    <xf numFmtId="0" fontId="1" fillId="0" borderId="3" xfId="2" applyFont="1" applyBorder="1">
      <alignment horizontal="left" wrapText="1"/>
    </xf>
    <xf numFmtId="0" fontId="24" fillId="0" borderId="4" xfId="2" applyFont="1" applyBorder="1" applyAlignment="1">
      <alignment horizontal="right" wrapText="1"/>
    </xf>
    <xf numFmtId="0" fontId="20" fillId="0" borderId="4" xfId="2" applyFont="1" applyBorder="1" applyAlignment="1">
      <alignment horizontal="right" wrapText="1"/>
    </xf>
    <xf numFmtId="165" fontId="24" fillId="0" borderId="5" xfId="2" applyNumberFormat="1" applyFont="1" applyBorder="1" applyAlignment="1">
      <alignment wrapText="1"/>
    </xf>
    <xf numFmtId="165" fontId="29" fillId="2" borderId="5" xfId="2" applyNumberFormat="1" applyFont="1" applyFill="1" applyBorder="1" applyAlignment="1">
      <alignment wrapText="1"/>
    </xf>
    <xf numFmtId="0" fontId="24" fillId="0" borderId="16" xfId="2" applyFont="1" applyBorder="1" applyAlignment="1">
      <alignment horizontal="left" vertical="center" wrapText="1"/>
    </xf>
    <xf numFmtId="0" fontId="27" fillId="0" borderId="5" xfId="2" applyFont="1" applyBorder="1">
      <alignment horizontal="left" wrapText="1"/>
    </xf>
    <xf numFmtId="0" fontId="29" fillId="2" borderId="5" xfId="2" applyFont="1" applyFill="1" applyBorder="1" applyAlignment="1">
      <alignment horizontal="right" wrapText="1"/>
    </xf>
    <xf numFmtId="167" fontId="20" fillId="2" borderId="5" xfId="2" applyNumberFormat="1" applyFont="1" applyFill="1" applyBorder="1" applyAlignment="1">
      <alignment horizontal="right" wrapText="1"/>
    </xf>
    <xf numFmtId="0" fontId="29" fillId="2" borderId="7" xfId="2" applyFont="1" applyFill="1" applyBorder="1" applyAlignment="1">
      <alignment horizontal="left" vertical="top" wrapText="1"/>
    </xf>
    <xf numFmtId="0" fontId="29" fillId="2" borderId="7" xfId="2" applyFont="1" applyFill="1" applyBorder="1" applyAlignment="1">
      <alignment horizontal="left" vertical="center" wrapText="1"/>
    </xf>
    <xf numFmtId="0" fontId="29" fillId="2" borderId="7" xfId="2" applyFont="1" applyFill="1" applyBorder="1" applyAlignment="1">
      <alignment horizontal="right" wrapText="1"/>
    </xf>
    <xf numFmtId="167" fontId="20" fillId="2" borderId="7" xfId="2" applyNumberFormat="1" applyFont="1" applyFill="1" applyBorder="1" applyAlignment="1">
      <alignment horizontal="right" wrapText="1"/>
    </xf>
    <xf numFmtId="0" fontId="24" fillId="0" borderId="15" xfId="2" applyFont="1" applyBorder="1" applyAlignment="1">
      <alignment horizontal="left" vertical="top" wrapText="1"/>
    </xf>
    <xf numFmtId="0" fontId="29" fillId="2" borderId="15" xfId="2" applyFont="1" applyFill="1" applyBorder="1" applyAlignment="1">
      <alignment horizontal="left" vertical="top" wrapText="1"/>
    </xf>
    <xf numFmtId="0" fontId="20" fillId="2" borderId="15" xfId="2" applyFont="1" applyFill="1" applyBorder="1" applyAlignment="1">
      <alignment horizontal="right" wrapText="1"/>
    </xf>
    <xf numFmtId="0" fontId="20" fillId="2" borderId="7" xfId="2" applyFont="1" applyFill="1" applyBorder="1" applyAlignment="1">
      <alignment horizontal="right" wrapText="1"/>
    </xf>
    <xf numFmtId="0" fontId="1" fillId="0" borderId="16" xfId="2" applyFont="1" applyBorder="1">
      <alignment horizontal="left" wrapText="1"/>
    </xf>
    <xf numFmtId="0" fontId="29" fillId="3" borderId="5" xfId="2" applyFont="1" applyFill="1" applyBorder="1" applyAlignment="1">
      <alignment horizontal="right" wrapText="1"/>
    </xf>
    <xf numFmtId="0" fontId="29" fillId="3" borderId="7" xfId="2" applyFont="1" applyFill="1" applyBorder="1" applyAlignment="1">
      <alignment horizontal="right" wrapText="1"/>
    </xf>
    <xf numFmtId="0" fontId="20" fillId="3" borderId="7" xfId="2" applyFont="1" applyFill="1" applyBorder="1" applyAlignment="1">
      <alignment horizontal="right" wrapText="1"/>
    </xf>
    <xf numFmtId="0" fontId="20" fillId="3" borderId="15" xfId="2" applyFont="1" applyFill="1" applyBorder="1" applyAlignment="1">
      <alignment horizontal="right" wrapText="1"/>
    </xf>
    <xf numFmtId="0" fontId="24" fillId="0" borderId="0" xfId="2" applyFont="1">
      <alignment horizontal="left" wrapText="1"/>
    </xf>
    <xf numFmtId="0" fontId="27" fillId="0" borderId="0" xfId="2" applyFont="1">
      <alignment horizontal="left" wrapText="1"/>
    </xf>
    <xf numFmtId="0" fontId="24" fillId="0" borderId="15" xfId="2" applyFont="1" applyBorder="1" applyAlignment="1">
      <alignment horizontal="right" wrapText="1"/>
    </xf>
    <xf numFmtId="169" fontId="24" fillId="0" borderId="5" xfId="2" applyNumberFormat="1" applyFont="1" applyBorder="1" applyAlignment="1">
      <alignment wrapText="1"/>
    </xf>
    <xf numFmtId="172" fontId="29" fillId="2" borderId="5" xfId="2" applyNumberFormat="1" applyFont="1" applyFill="1" applyBorder="1" applyAlignment="1">
      <alignment wrapText="1"/>
    </xf>
    <xf numFmtId="169" fontId="24" fillId="0" borderId="7" xfId="2" applyNumberFormat="1" applyFont="1" applyBorder="1" applyAlignment="1">
      <alignment wrapText="1"/>
    </xf>
    <xf numFmtId="172" fontId="29" fillId="2" borderId="7" xfId="2" applyNumberFormat="1" applyFont="1" applyFill="1" applyBorder="1" applyAlignment="1">
      <alignment wrapText="1"/>
    </xf>
    <xf numFmtId="169" fontId="24" fillId="0" borderId="15" xfId="2" applyNumberFormat="1" applyFont="1" applyBorder="1" applyAlignment="1">
      <alignment wrapText="1"/>
    </xf>
    <xf numFmtId="0" fontId="24" fillId="0" borderId="4" xfId="2" applyFont="1" applyBorder="1" applyAlignment="1">
      <alignment horizontal="right" vertical="center" wrapText="1"/>
    </xf>
    <xf numFmtId="172" fontId="29" fillId="2" borderId="15" xfId="2" applyNumberFormat="1" applyFont="1" applyFill="1" applyBorder="1" applyAlignment="1">
      <alignment wrapText="1"/>
    </xf>
    <xf numFmtId="173" fontId="29" fillId="2" borderId="5" xfId="2" applyNumberFormat="1" applyFont="1" applyFill="1" applyBorder="1" applyAlignment="1">
      <alignment horizontal="right" wrapText="1"/>
    </xf>
    <xf numFmtId="174" fontId="29" fillId="2" borderId="16" xfId="2" applyNumberFormat="1" applyFont="1" applyFill="1" applyBorder="1" applyAlignment="1">
      <alignment horizontal="right" wrapText="1"/>
    </xf>
    <xf numFmtId="173" fontId="29" fillId="2" borderId="7" xfId="2" applyNumberFormat="1" applyFont="1" applyFill="1" applyBorder="1" applyAlignment="1">
      <alignment horizontal="right" wrapText="1"/>
    </xf>
    <xf numFmtId="173" fontId="29" fillId="2" borderId="15" xfId="2" applyNumberFormat="1" applyFont="1" applyFill="1" applyBorder="1" applyAlignment="1">
      <alignment horizontal="right" wrapText="1"/>
    </xf>
    <xf numFmtId="0" fontId="24" fillId="0" borderId="16" xfId="2" applyFont="1" applyBorder="1">
      <alignment horizontal="left" wrapText="1"/>
    </xf>
    <xf numFmtId="169" fontId="24" fillId="0" borderId="16" xfId="2" applyNumberFormat="1" applyFont="1" applyBorder="1" applyAlignment="1">
      <alignment wrapText="1"/>
    </xf>
    <xf numFmtId="169" fontId="29" fillId="2" borderId="16" xfId="2" applyNumberFormat="1" applyFont="1" applyFill="1" applyBorder="1" applyAlignment="1">
      <alignment wrapText="1"/>
    </xf>
    <xf numFmtId="169" fontId="24" fillId="0" borderId="4" xfId="2" applyNumberFormat="1" applyFont="1" applyBorder="1" applyAlignment="1">
      <alignment wrapText="1"/>
    </xf>
    <xf numFmtId="174" fontId="29" fillId="2" borderId="4" xfId="2" applyNumberFormat="1" applyFont="1" applyFill="1" applyBorder="1" applyAlignment="1">
      <alignment horizontal="right" wrapText="1"/>
    </xf>
    <xf numFmtId="169" fontId="29" fillId="2" borderId="4" xfId="2" applyNumberFormat="1" applyFont="1" applyFill="1" applyBorder="1" applyAlignment="1">
      <alignment wrapText="1"/>
    </xf>
    <xf numFmtId="172" fontId="24" fillId="0" borderId="16" xfId="2" applyNumberFormat="1" applyFont="1" applyBorder="1" applyAlignment="1">
      <alignment wrapText="1"/>
    </xf>
    <xf numFmtId="172" fontId="29" fillId="2" borderId="16" xfId="2" applyNumberFormat="1" applyFont="1" applyFill="1" applyBorder="1" applyAlignment="1">
      <alignment wrapText="1"/>
    </xf>
    <xf numFmtId="172" fontId="24" fillId="0" borderId="4" xfId="2" applyNumberFormat="1" applyFont="1" applyBorder="1" applyAlignment="1">
      <alignment wrapText="1"/>
    </xf>
    <xf numFmtId="172" fontId="29" fillId="2" borderId="4" xfId="2" applyNumberFormat="1" applyFont="1" applyFill="1" applyBorder="1" applyAlignment="1">
      <alignment wrapText="1"/>
    </xf>
    <xf numFmtId="0" fontId="24" fillId="0" borderId="16" xfId="2" applyFont="1" applyBorder="1" applyAlignment="1">
      <alignment horizontal="right" wrapText="1"/>
    </xf>
    <xf numFmtId="0" fontId="33" fillId="0" borderId="4" xfId="2" applyFont="1" applyBorder="1" applyAlignment="1">
      <alignment horizontal="right" vertical="center" wrapText="1"/>
    </xf>
    <xf numFmtId="172" fontId="24" fillId="0" borderId="5" xfId="2" applyNumberFormat="1" applyFont="1" applyBorder="1" applyAlignment="1">
      <alignment wrapText="1"/>
    </xf>
    <xf numFmtId="0" fontId="24" fillId="0" borderId="5" xfId="2" applyFont="1" applyBorder="1" applyAlignment="1">
      <alignment horizontal="right" wrapText="1"/>
    </xf>
    <xf numFmtId="172" fontId="24" fillId="0" borderId="7" xfId="2" applyNumberFormat="1" applyFont="1" applyBorder="1" applyAlignment="1">
      <alignment wrapText="1"/>
    </xf>
    <xf numFmtId="0" fontId="24" fillId="0" borderId="7" xfId="2" applyFont="1" applyBorder="1" applyAlignment="1">
      <alignment horizontal="right" wrapText="1"/>
    </xf>
    <xf numFmtId="0" fontId="27" fillId="0" borderId="7" xfId="2" applyFont="1" applyBorder="1">
      <alignment horizontal="left" wrapText="1"/>
    </xf>
    <xf numFmtId="0" fontId="24" fillId="0" borderId="7" xfId="2" applyFont="1" applyBorder="1" applyAlignment="1">
      <alignment horizontal="left" wrapText="1" indent="1"/>
    </xf>
    <xf numFmtId="0" fontId="27" fillId="0" borderId="15" xfId="2" applyFont="1" applyBorder="1" applyAlignment="1">
      <alignment horizontal="left" vertical="center" wrapText="1"/>
    </xf>
    <xf numFmtId="172" fontId="27" fillId="0" borderId="15" xfId="2" applyNumberFormat="1" applyFont="1" applyBorder="1" applyAlignment="1">
      <alignment wrapText="1"/>
    </xf>
    <xf numFmtId="0" fontId="27" fillId="0" borderId="15" xfId="2" applyFont="1" applyBorder="1" applyAlignment="1">
      <alignment horizontal="right" wrapText="1"/>
    </xf>
    <xf numFmtId="0" fontId="27" fillId="0" borderId="0" xfId="2" applyFont="1" applyAlignment="1">
      <alignment horizontal="right" wrapText="1"/>
    </xf>
    <xf numFmtId="0" fontId="33" fillId="0" borderId="4" xfId="2" applyFont="1" applyBorder="1" applyAlignment="1">
      <alignment horizontal="left" vertical="center" wrapText="1"/>
    </xf>
    <xf numFmtId="173" fontId="24" fillId="0" borderId="5" xfId="2" applyNumberFormat="1" applyFont="1" applyBorder="1" applyAlignment="1">
      <alignment horizontal="right" wrapText="1"/>
    </xf>
    <xf numFmtId="177" fontId="24" fillId="0" borderId="5" xfId="2" applyNumberFormat="1" applyFont="1" applyBorder="1" applyAlignment="1">
      <alignment horizontal="right" wrapText="1"/>
    </xf>
    <xf numFmtId="173" fontId="24" fillId="0" borderId="7" xfId="2" applyNumberFormat="1" applyFont="1" applyBorder="1" applyAlignment="1">
      <alignment horizontal="right" wrapText="1"/>
    </xf>
    <xf numFmtId="177" fontId="24" fillId="0" borderId="7" xfId="2" applyNumberFormat="1" applyFont="1" applyBorder="1" applyAlignment="1">
      <alignment horizontal="right" wrapText="1"/>
    </xf>
    <xf numFmtId="173" fontId="27" fillId="0" borderId="15" xfId="2" applyNumberFormat="1" applyFont="1" applyBorder="1" applyAlignment="1">
      <alignment horizontal="right" wrapText="1"/>
    </xf>
    <xf numFmtId="177" fontId="27" fillId="0" borderId="15" xfId="2" applyNumberFormat="1" applyFont="1" applyBorder="1" applyAlignment="1">
      <alignment horizontal="right" wrapText="1"/>
    </xf>
    <xf numFmtId="0" fontId="27" fillId="0" borderId="4" xfId="2" applyFont="1" applyBorder="1" applyAlignment="1">
      <alignment horizontal="right" wrapText="1"/>
    </xf>
    <xf numFmtId="0" fontId="20" fillId="0" borderId="17" xfId="2" applyFont="1" applyBorder="1" applyAlignment="1">
      <alignment horizontal="right" wrapText="1"/>
    </xf>
    <xf numFmtId="0" fontId="24" fillId="0" borderId="17" xfId="2" applyFont="1" applyBorder="1" applyAlignment="1">
      <alignment horizontal="right" wrapText="1"/>
    </xf>
    <xf numFmtId="173" fontId="24" fillId="0" borderId="15" xfId="2" applyNumberFormat="1" applyFont="1" applyBorder="1" applyAlignment="1">
      <alignment horizontal="right" wrapText="1"/>
    </xf>
    <xf numFmtId="0" fontId="20" fillId="0" borderId="0" xfId="2" applyFont="1" applyAlignment="1">
      <alignment horizontal="center" wrapText="1"/>
    </xf>
    <xf numFmtId="0" fontId="24" fillId="0" borderId="0" xfId="2" applyFont="1" applyAlignment="1">
      <alignment horizontal="right" wrapText="1"/>
    </xf>
    <xf numFmtId="0" fontId="18" fillId="0" borderId="4" xfId="2" applyFont="1" applyBorder="1" applyAlignment="1">
      <alignment horizontal="right" wrapText="1"/>
    </xf>
    <xf numFmtId="0" fontId="27" fillId="0" borderId="4" xfId="2" applyFont="1" applyBorder="1">
      <alignment horizontal="left" wrapText="1"/>
    </xf>
    <xf numFmtId="0" fontId="20" fillId="0" borderId="5" xfId="2" applyFont="1" applyBorder="1" applyAlignment="1">
      <alignment horizontal="right" wrapText="1"/>
    </xf>
    <xf numFmtId="0" fontId="20" fillId="2" borderId="5" xfId="2" applyFont="1" applyFill="1" applyBorder="1" applyAlignment="1">
      <alignment horizontal="right" wrapText="1"/>
    </xf>
    <xf numFmtId="173" fontId="20" fillId="2" borderId="7" xfId="2" applyNumberFormat="1" applyFont="1" applyFill="1" applyBorder="1" applyAlignment="1">
      <alignment horizontal="right" wrapText="1"/>
    </xf>
    <xf numFmtId="0" fontId="20" fillId="0" borderId="7" xfId="2" applyFont="1" applyBorder="1" applyAlignment="1">
      <alignment horizontal="right" wrapText="1"/>
    </xf>
    <xf numFmtId="173" fontId="20" fillId="2" borderId="15" xfId="2" applyNumberFormat="1" applyFont="1" applyFill="1" applyBorder="1" applyAlignment="1">
      <alignment horizontal="right" wrapText="1"/>
    </xf>
    <xf numFmtId="0" fontId="27" fillId="0" borderId="5" xfId="2" applyFont="1" applyBorder="1" applyAlignment="1">
      <alignment horizontal="right" wrapText="1"/>
    </xf>
    <xf numFmtId="173" fontId="27" fillId="0" borderId="7" xfId="2" applyNumberFormat="1" applyFont="1" applyBorder="1" applyAlignment="1">
      <alignment horizontal="right" wrapText="1"/>
    </xf>
    <xf numFmtId="0" fontId="27" fillId="0" borderId="7" xfId="2" applyFont="1" applyBorder="1" applyAlignment="1">
      <alignment horizontal="right" wrapText="1"/>
    </xf>
    <xf numFmtId="164" fontId="24" fillId="0" borderId="7" xfId="2" applyNumberFormat="1" applyFont="1" applyBorder="1" applyAlignment="1">
      <alignment horizontal="right" wrapText="1"/>
    </xf>
    <xf numFmtId="0" fontId="24" fillId="0" borderId="7" xfId="2" applyFont="1" applyBorder="1" applyAlignment="1">
      <alignment horizontal="left" wrapText="1" indent="2"/>
    </xf>
    <xf numFmtId="164" fontId="24" fillId="0" borderId="15" xfId="2" applyNumberFormat="1" applyFont="1" applyBorder="1" applyAlignment="1">
      <alignment horizontal="right" wrapText="1"/>
    </xf>
    <xf numFmtId="174" fontId="29" fillId="2" borderId="5" xfId="2" applyNumberFormat="1" applyFont="1" applyFill="1" applyBorder="1" applyAlignment="1">
      <alignment horizontal="right" wrapText="1"/>
    </xf>
    <xf numFmtId="174" fontId="24" fillId="0" borderId="5" xfId="2" applyNumberFormat="1" applyFont="1" applyBorder="1" applyAlignment="1">
      <alignment horizontal="right" wrapText="1"/>
    </xf>
    <xf numFmtId="174" fontId="29" fillId="2" borderId="7" xfId="2" applyNumberFormat="1" applyFont="1" applyFill="1" applyBorder="1" applyAlignment="1">
      <alignment horizontal="right" wrapText="1"/>
    </xf>
    <xf numFmtId="174" fontId="24" fillId="0" borderId="7" xfId="2" applyNumberFormat="1" applyFont="1" applyBorder="1" applyAlignment="1">
      <alignment horizontal="right" wrapText="1"/>
    </xf>
    <xf numFmtId="166" fontId="24" fillId="0" borderId="7" xfId="2" applyNumberFormat="1" applyFont="1" applyBorder="1" applyAlignment="1">
      <alignment horizontal="right" wrapText="1"/>
    </xf>
    <xf numFmtId="0" fontId="35" fillId="0" borderId="15" xfId="2" applyFont="1" applyBorder="1" applyAlignment="1">
      <alignment horizontal="right" wrapText="1"/>
    </xf>
    <xf numFmtId="174" fontId="29" fillId="2" borderId="15" xfId="2" applyNumberFormat="1" applyFont="1" applyFill="1" applyBorder="1" applyAlignment="1">
      <alignment horizontal="right" wrapText="1"/>
    </xf>
    <xf numFmtId="174" fontId="24" fillId="0" borderId="15" xfId="2" applyNumberFormat="1" applyFont="1" applyBorder="1" applyAlignment="1">
      <alignment horizontal="right" wrapText="1"/>
    </xf>
    <xf numFmtId="0" fontId="24" fillId="0" borderId="18" xfId="2" applyFont="1" applyBorder="1">
      <alignment horizontal="left" wrapText="1"/>
    </xf>
    <xf numFmtId="0" fontId="3" fillId="0" borderId="16" xfId="2" applyFont="1" applyBorder="1">
      <alignment horizontal="left" wrapText="1"/>
    </xf>
    <xf numFmtId="0" fontId="24" fillId="0" borderId="19" xfId="2" applyFont="1" applyBorder="1">
      <alignment horizontal="left" wrapText="1"/>
    </xf>
    <xf numFmtId="0" fontId="24" fillId="0" borderId="8" xfId="2" applyFont="1" applyBorder="1">
      <alignment horizontal="left" wrapText="1"/>
    </xf>
    <xf numFmtId="0" fontId="24" fillId="0" borderId="20" xfId="2" applyFont="1" applyBorder="1">
      <alignment horizontal="left" wrapText="1"/>
    </xf>
    <xf numFmtId="0" fontId="27" fillId="0" borderId="15" xfId="2" applyFont="1" applyBorder="1">
      <alignment horizontal="left" wrapText="1"/>
    </xf>
    <xf numFmtId="0" fontId="27" fillId="0" borderId="17" xfId="2" applyFont="1" applyBorder="1">
      <alignment horizontal="left" wrapText="1"/>
    </xf>
    <xf numFmtId="164" fontId="24" fillId="0" borderId="5" xfId="2" applyNumberFormat="1" applyFont="1" applyBorder="1" applyAlignment="1">
      <alignment horizontal="right" vertical="top" wrapText="1"/>
    </xf>
    <xf numFmtId="164" fontId="27" fillId="0" borderId="7" xfId="2" applyNumberFormat="1" applyFont="1" applyBorder="1" applyAlignment="1">
      <alignment horizontal="right" wrapText="1"/>
    </xf>
    <xf numFmtId="0" fontId="7" fillId="0" borderId="0" xfId="2" applyFont="1">
      <alignment horizontal="left" wrapText="1"/>
    </xf>
    <xf numFmtId="164" fontId="24" fillId="0" borderId="5" xfId="2" applyNumberFormat="1" applyFont="1" applyBorder="1" applyAlignment="1">
      <alignment horizontal="right" wrapText="1"/>
    </xf>
    <xf numFmtId="164" fontId="24" fillId="0" borderId="7" xfId="2" applyNumberFormat="1" applyFont="1" applyBorder="1" applyAlignment="1">
      <alignment horizontal="right" vertical="top" wrapText="1"/>
    </xf>
    <xf numFmtId="164" fontId="27" fillId="0" borderId="15" xfId="2" applyNumberFormat="1" applyFont="1" applyBorder="1" applyAlignment="1">
      <alignment horizontal="right" wrapText="1"/>
    </xf>
    <xf numFmtId="164" fontId="27" fillId="0" borderId="17" xfId="2" applyNumberFormat="1" applyFont="1" applyBorder="1" applyAlignment="1">
      <alignment horizontal="right" wrapText="1"/>
    </xf>
    <xf numFmtId="0" fontId="29" fillId="0" borderId="7" xfId="2" applyFont="1" applyBorder="1" applyAlignment="1">
      <alignment horizontal="left" vertical="top" wrapText="1"/>
    </xf>
    <xf numFmtId="0" fontId="24" fillId="0" borderId="7" xfId="2" applyFont="1" applyBorder="1" applyAlignment="1">
      <alignment horizontal="right" vertical="top" wrapText="1"/>
    </xf>
    <xf numFmtId="172" fontId="20" fillId="2" borderId="7" xfId="2" applyNumberFormat="1" applyFont="1" applyFill="1" applyBorder="1" applyAlignment="1">
      <alignment wrapText="1"/>
    </xf>
    <xf numFmtId="172" fontId="27" fillId="0" borderId="7" xfId="2" applyNumberFormat="1" applyFont="1" applyBorder="1" applyAlignment="1">
      <alignment wrapText="1"/>
    </xf>
    <xf numFmtId="176" fontId="20" fillId="2" borderId="4" xfId="2" applyNumberFormat="1" applyFont="1" applyFill="1" applyBorder="1" applyAlignment="1">
      <alignment horizontal="right" wrapText="1"/>
    </xf>
    <xf numFmtId="176" fontId="27" fillId="0" borderId="4" xfId="2" applyNumberFormat="1" applyFont="1" applyBorder="1" applyAlignment="1">
      <alignment horizontal="right" wrapText="1"/>
    </xf>
    <xf numFmtId="178" fontId="29" fillId="2" borderId="15" xfId="2" applyNumberFormat="1" applyFont="1" applyFill="1" applyBorder="1" applyAlignment="1">
      <alignment wrapText="1"/>
    </xf>
    <xf numFmtId="178" fontId="24" fillId="0" borderId="15" xfId="2" applyNumberFormat="1" applyFont="1" applyBorder="1" applyAlignment="1">
      <alignment wrapText="1"/>
    </xf>
    <xf numFmtId="0" fontId="24" fillId="0" borderId="21" xfId="2" applyFont="1" applyBorder="1">
      <alignment horizontal="left" wrapText="1"/>
    </xf>
    <xf numFmtId="172" fontId="20" fillId="2" borderId="5" xfId="2" applyNumberFormat="1" applyFont="1" applyFill="1" applyBorder="1" applyAlignment="1">
      <alignment wrapText="1"/>
    </xf>
    <xf numFmtId="172" fontId="27" fillId="0" borderId="5" xfId="2" applyNumberFormat="1" applyFont="1" applyBorder="1" applyAlignment="1">
      <alignment wrapText="1"/>
    </xf>
    <xf numFmtId="172" fontId="20" fillId="2" borderId="15" xfId="2" applyNumberFormat="1" applyFont="1" applyFill="1" applyBorder="1" applyAlignment="1">
      <alignment wrapText="1"/>
    </xf>
    <xf numFmtId="166" fontId="20" fillId="2" borderId="15" xfId="2" applyNumberFormat="1" applyFont="1" applyFill="1" applyBorder="1" applyAlignment="1">
      <alignment horizontal="right" wrapText="1"/>
    </xf>
    <xf numFmtId="166" fontId="27" fillId="0" borderId="15" xfId="2" applyNumberFormat="1" applyFont="1" applyBorder="1" applyAlignment="1">
      <alignment horizontal="right" wrapText="1"/>
    </xf>
    <xf numFmtId="0" fontId="24" fillId="0" borderId="17" xfId="2" applyFont="1" applyBorder="1">
      <alignment horizontal="left" wrapText="1"/>
    </xf>
    <xf numFmtId="178" fontId="29" fillId="2" borderId="17" xfId="2" applyNumberFormat="1" applyFont="1" applyFill="1" applyBorder="1" applyAlignment="1">
      <alignment wrapText="1"/>
    </xf>
    <xf numFmtId="178" fontId="24" fillId="0" borderId="17" xfId="2" applyNumberFormat="1" applyFont="1" applyBorder="1" applyAlignment="1">
      <alignment wrapText="1"/>
    </xf>
    <xf numFmtId="176" fontId="29" fillId="2" borderId="7" xfId="2" applyNumberFormat="1" applyFont="1" applyFill="1" applyBorder="1" applyAlignment="1">
      <alignment horizontal="right" wrapText="1"/>
    </xf>
    <xf numFmtId="176" fontId="24" fillId="0" borderId="7" xfId="2" applyNumberFormat="1" applyFont="1" applyBorder="1" applyAlignment="1">
      <alignment horizontal="right" wrapText="1"/>
    </xf>
    <xf numFmtId="172" fontId="24" fillId="0" borderId="15" xfId="2" applyNumberFormat="1" applyFont="1" applyBorder="1" applyAlignment="1">
      <alignment wrapText="1"/>
    </xf>
    <xf numFmtId="169" fontId="29" fillId="2" borderId="5" xfId="2" applyNumberFormat="1" applyFont="1" applyFill="1" applyBorder="1" applyAlignment="1">
      <alignment wrapText="1"/>
    </xf>
    <xf numFmtId="169" fontId="29" fillId="2" borderId="7" xfId="2" applyNumberFormat="1" applyFont="1" applyFill="1" applyBorder="1" applyAlignment="1">
      <alignment wrapText="1"/>
    </xf>
    <xf numFmtId="179" fontId="29" fillId="2" borderId="7" xfId="2" applyNumberFormat="1" applyFont="1" applyFill="1" applyBorder="1" applyAlignment="1">
      <alignment wrapText="1"/>
    </xf>
    <xf numFmtId="179" fontId="24" fillId="0" borderId="7" xfId="2" applyNumberFormat="1" applyFont="1" applyBorder="1" applyAlignment="1">
      <alignment wrapText="1"/>
    </xf>
    <xf numFmtId="166" fontId="29" fillId="2" borderId="7" xfId="2" applyNumberFormat="1" applyFont="1" applyFill="1" applyBorder="1" applyAlignment="1">
      <alignment horizontal="right" wrapText="1"/>
    </xf>
    <xf numFmtId="169" fontId="29" fillId="2" borderId="15" xfId="2" applyNumberFormat="1" applyFont="1" applyFill="1" applyBorder="1" applyAlignment="1">
      <alignment wrapText="1"/>
    </xf>
    <xf numFmtId="172" fontId="20" fillId="2" borderId="4" xfId="2" applyNumberFormat="1" applyFont="1" applyFill="1" applyBorder="1" applyAlignment="1">
      <alignment wrapText="1"/>
    </xf>
    <xf numFmtId="172" fontId="27" fillId="0" borderId="4" xfId="2" applyNumberFormat="1" applyFont="1" applyBorder="1" applyAlignment="1">
      <alignment wrapText="1"/>
    </xf>
    <xf numFmtId="0" fontId="35" fillId="0" borderId="5" xfId="2" applyFont="1" applyBorder="1">
      <alignment horizontal="left" wrapText="1"/>
    </xf>
    <xf numFmtId="180" fontId="24" fillId="0" borderId="7" xfId="2" applyNumberFormat="1" applyFont="1" applyBorder="1" applyAlignment="1">
      <alignment wrapText="1"/>
    </xf>
    <xf numFmtId="180" fontId="27" fillId="0" borderId="7" xfId="2" applyNumberFormat="1" applyFont="1" applyBorder="1" applyAlignment="1">
      <alignment wrapText="1"/>
    </xf>
    <xf numFmtId="169" fontId="27" fillId="0" borderId="15" xfId="2" applyNumberFormat="1" applyFont="1" applyBorder="1" applyAlignment="1">
      <alignment wrapText="1"/>
    </xf>
    <xf numFmtId="180" fontId="27" fillId="0" borderId="15" xfId="2" applyNumberFormat="1" applyFont="1" applyBorder="1" applyAlignment="1">
      <alignment wrapText="1"/>
    </xf>
    <xf numFmtId="0" fontId="24" fillId="4" borderId="5" xfId="2" applyFont="1" applyFill="1" applyBorder="1">
      <alignment horizontal="left" wrapText="1"/>
    </xf>
    <xf numFmtId="0" fontId="24" fillId="4" borderId="7" xfId="2" applyFont="1" applyFill="1" applyBorder="1">
      <alignment horizontal="left" wrapText="1"/>
    </xf>
    <xf numFmtId="0" fontId="24" fillId="0" borderId="7" xfId="2" applyFont="1" applyBorder="1" applyAlignment="1">
      <alignment horizontal="left" vertical="center" wrapText="1"/>
    </xf>
    <xf numFmtId="0" fontId="18" fillId="0" borderId="7" xfId="2" applyFont="1" applyBorder="1">
      <alignment horizontal="left" wrapText="1"/>
    </xf>
    <xf numFmtId="0" fontId="25" fillId="0" borderId="7" xfId="2" applyFont="1" applyBorder="1">
      <alignment horizontal="left" wrapText="1"/>
    </xf>
    <xf numFmtId="168" fontId="20" fillId="2" borderId="7" xfId="2" applyNumberFormat="1" applyFont="1" applyFill="1" applyBorder="1" applyAlignment="1">
      <alignment horizontal="right" wrapText="1"/>
    </xf>
    <xf numFmtId="168" fontId="29" fillId="2" borderId="7" xfId="2" applyNumberFormat="1" applyFont="1" applyFill="1" applyBorder="1" applyAlignment="1">
      <alignment horizontal="right" wrapText="1"/>
    </xf>
    <xf numFmtId="0" fontId="20" fillId="0" borderId="7" xfId="2" applyFont="1" applyBorder="1">
      <alignment horizontal="left" wrapText="1"/>
    </xf>
    <xf numFmtId="0" fontId="18" fillId="0" borderId="15" xfId="2" applyFont="1" applyBorder="1">
      <alignment horizontal="left" wrapText="1"/>
    </xf>
    <xf numFmtId="0" fontId="18" fillId="0" borderId="17" xfId="2" applyFont="1" applyBorder="1">
      <alignment horizontal="left" wrapText="1"/>
    </xf>
    <xf numFmtId="173" fontId="29" fillId="2" borderId="17" xfId="2" applyNumberFormat="1" applyFont="1" applyFill="1" applyBorder="1" applyAlignment="1">
      <alignment horizontal="right" wrapText="1"/>
    </xf>
    <xf numFmtId="164" fontId="24" fillId="0" borderId="17" xfId="2" applyNumberFormat="1" applyFont="1" applyBorder="1" applyAlignment="1">
      <alignment horizontal="right" wrapText="1"/>
    </xf>
    <xf numFmtId="173" fontId="29" fillId="2" borderId="5" xfId="2" applyNumberFormat="1" applyFont="1" applyFill="1" applyBorder="1" applyAlignment="1">
      <alignment horizontal="right" vertical="center" wrapText="1"/>
    </xf>
    <xf numFmtId="173" fontId="29" fillId="2" borderId="7" xfId="2" applyNumberFormat="1" applyFont="1" applyFill="1" applyBorder="1" applyAlignment="1">
      <alignment horizontal="right" vertical="center" wrapText="1"/>
    </xf>
    <xf numFmtId="173" fontId="29" fillId="2" borderId="15" xfId="2" applyNumberFormat="1" applyFont="1" applyFill="1" applyBorder="1" applyAlignment="1">
      <alignment horizontal="right" vertical="center" wrapText="1"/>
    </xf>
    <xf numFmtId="0" fontId="18" fillId="0" borderId="4" xfId="2" applyFont="1" applyBorder="1" applyAlignment="1">
      <alignment horizontal="left" vertical="top" wrapText="1"/>
    </xf>
    <xf numFmtId="0" fontId="3" fillId="0" borderId="16" xfId="2" applyFont="1" applyBorder="1" applyAlignment="1">
      <alignment horizontal="left" vertical="top" wrapText="1"/>
    </xf>
    <xf numFmtId="0" fontId="11" fillId="0" borderId="16" xfId="2" applyFont="1" applyBorder="1" applyAlignment="1">
      <alignment horizontal="right" vertical="top" wrapText="1"/>
    </xf>
    <xf numFmtId="0" fontId="18" fillId="0" borderId="4" xfId="2" applyFont="1" applyBorder="1">
      <alignment horizontal="left" wrapText="1"/>
    </xf>
    <xf numFmtId="0" fontId="18" fillId="0" borderId="5" xfId="2" applyFont="1" applyBorder="1">
      <alignment horizontal="left" wrapText="1"/>
    </xf>
    <xf numFmtId="0" fontId="25" fillId="0" borderId="15" xfId="2" applyFont="1" applyBorder="1">
      <alignment horizontal="left" wrapText="1"/>
    </xf>
    <xf numFmtId="0" fontId="29" fillId="2" borderId="15" xfId="2" applyFont="1" applyFill="1" applyBorder="1" applyAlignment="1">
      <alignment horizontal="right" wrapText="1"/>
    </xf>
    <xf numFmtId="0" fontId="18" fillId="0" borderId="17" xfId="2" applyFont="1" applyBorder="1" applyAlignment="1">
      <alignment horizontal="right" wrapText="1"/>
    </xf>
    <xf numFmtId="0" fontId="18" fillId="0" borderId="7" xfId="2" applyFont="1" applyBorder="1" applyAlignment="1">
      <alignment horizontal="right" wrapText="1"/>
    </xf>
    <xf numFmtId="0" fontId="18" fillId="0" borderId="15" xfId="2" applyFont="1" applyBorder="1" applyAlignment="1">
      <alignment horizontal="right" wrapText="1"/>
    </xf>
    <xf numFmtId="183" fontId="29" fillId="2" borderId="5" xfId="2" applyNumberFormat="1" applyFont="1" applyFill="1" applyBorder="1" applyAlignment="1">
      <alignment horizontal="right" wrapText="1"/>
    </xf>
    <xf numFmtId="183" fontId="29" fillId="2" borderId="7" xfId="2" applyNumberFormat="1" applyFont="1" applyFill="1" applyBorder="1" applyAlignment="1">
      <alignment horizontal="right" wrapText="1"/>
    </xf>
    <xf numFmtId="183" fontId="20" fillId="2" borderId="15" xfId="2" applyNumberFormat="1" applyFont="1" applyFill="1" applyBorder="1" applyAlignment="1">
      <alignment horizontal="right" wrapText="1"/>
    </xf>
    <xf numFmtId="0" fontId="25" fillId="0" borderId="5" xfId="2" applyFont="1" applyBorder="1">
      <alignment horizontal="left" wrapText="1"/>
    </xf>
    <xf numFmtId="164" fontId="29" fillId="2" borderId="5" xfId="2" applyNumberFormat="1" applyFont="1" applyFill="1" applyBorder="1" applyAlignment="1">
      <alignment horizontal="right" wrapText="1"/>
    </xf>
    <xf numFmtId="164" fontId="29" fillId="2" borderId="7" xfId="2" applyNumberFormat="1" applyFont="1" applyFill="1" applyBorder="1" applyAlignment="1">
      <alignment horizontal="right" wrapText="1"/>
    </xf>
    <xf numFmtId="164" fontId="29" fillId="2" borderId="15" xfId="2" applyNumberFormat="1" applyFont="1" applyFill="1" applyBorder="1" applyAlignment="1">
      <alignment horizontal="right" wrapText="1"/>
    </xf>
    <xf numFmtId="0" fontId="20" fillId="0" borderId="5" xfId="2" applyFont="1" applyBorder="1">
      <alignment horizontal="left" wrapText="1"/>
    </xf>
    <xf numFmtId="0" fontId="27" fillId="0" borderId="2" xfId="2" applyFont="1" applyBorder="1" applyAlignment="1">
      <alignment horizontal="right" wrapText="1"/>
    </xf>
    <xf numFmtId="0" fontId="24" fillId="0" borderId="22" xfId="2" applyFont="1" applyBorder="1">
      <alignment horizontal="left" wrapText="1"/>
    </xf>
    <xf numFmtId="176" fontId="24" fillId="0" borderId="22" xfId="2" applyNumberFormat="1" applyFont="1" applyBorder="1" applyAlignment="1">
      <alignment horizontal="right" wrapText="1"/>
    </xf>
    <xf numFmtId="176" fontId="24" fillId="0" borderId="1" xfId="2" applyNumberFormat="1" applyFont="1" applyBorder="1" applyAlignment="1">
      <alignment horizontal="right" wrapText="1"/>
    </xf>
    <xf numFmtId="0" fontId="24" fillId="0" borderId="23" xfId="2" applyFont="1" applyBorder="1">
      <alignment horizontal="left" wrapText="1"/>
    </xf>
    <xf numFmtId="176" fontId="24" fillId="0" borderId="23" xfId="2" applyNumberFormat="1" applyFont="1" applyBorder="1" applyAlignment="1">
      <alignment horizontal="right" wrapText="1"/>
    </xf>
    <xf numFmtId="0" fontId="24" fillId="0" borderId="5" xfId="2" applyFont="1" applyBorder="1" applyAlignment="1">
      <alignment horizontal="right" vertical="center" wrapText="1"/>
    </xf>
    <xf numFmtId="0" fontId="29" fillId="0" borderId="5" xfId="2" applyFont="1" applyBorder="1" applyAlignment="1">
      <alignment horizontal="right" vertical="center" wrapText="1"/>
    </xf>
    <xf numFmtId="0" fontId="24" fillId="0" borderId="4" xfId="2" applyFont="1" applyBorder="1" applyAlignment="1">
      <alignment horizontal="left" vertical="center" wrapText="1"/>
    </xf>
    <xf numFmtId="0" fontId="24" fillId="0" borderId="4" xfId="2" applyFont="1" applyBorder="1" applyAlignment="1">
      <alignment horizontal="center" vertical="center" wrapText="1"/>
    </xf>
    <xf numFmtId="0" fontId="18" fillId="0" borderId="16" xfId="2" applyFont="1" applyBorder="1">
      <alignment horizontal="left" wrapText="1"/>
    </xf>
    <xf numFmtId="0" fontId="18" fillId="0" borderId="16" xfId="2" applyFont="1" applyBorder="1" applyAlignment="1">
      <alignment horizontal="right" wrapText="1"/>
    </xf>
    <xf numFmtId="164" fontId="18" fillId="0" borderId="4" xfId="2" applyNumberFormat="1" applyFont="1" applyBorder="1" applyAlignment="1">
      <alignment horizontal="left" vertical="top" wrapText="1"/>
    </xf>
    <xf numFmtId="184" fontId="29" fillId="2" borderId="7" xfId="2" applyNumberFormat="1" applyFont="1" applyFill="1" applyBorder="1" applyAlignment="1">
      <alignment wrapText="1"/>
    </xf>
    <xf numFmtId="184" fontId="24" fillId="0" borderId="7" xfId="2" applyNumberFormat="1" applyFont="1" applyBorder="1" applyAlignment="1">
      <alignment wrapText="1"/>
    </xf>
    <xf numFmtId="184" fontId="29" fillId="2" borderId="15" xfId="2" applyNumberFormat="1" applyFont="1" applyFill="1" applyBorder="1" applyAlignment="1">
      <alignment wrapText="1"/>
    </xf>
    <xf numFmtId="184" fontId="24" fillId="0" borderId="15" xfId="2" applyNumberFormat="1" applyFont="1" applyBorder="1" applyAlignment="1">
      <alignment wrapText="1"/>
    </xf>
    <xf numFmtId="0" fontId="26" fillId="2" borderId="7" xfId="2" applyFont="1" applyFill="1" applyBorder="1" applyAlignment="1">
      <alignment horizontal="right" wrapText="1"/>
    </xf>
    <xf numFmtId="0" fontId="24" fillId="0" borderId="5" xfId="2" applyFont="1" applyBorder="1" applyAlignment="1">
      <alignment horizontal="left" wrapText="1" indent="1"/>
    </xf>
    <xf numFmtId="0" fontId="20" fillId="2" borderId="24" xfId="2" applyFont="1" applyFill="1" applyBorder="1">
      <alignment horizontal="left" wrapText="1"/>
    </xf>
    <xf numFmtId="172" fontId="20" fillId="2" borderId="24" xfId="2" applyNumberFormat="1" applyFont="1" applyFill="1" applyBorder="1" applyAlignment="1">
      <alignment wrapText="1"/>
    </xf>
    <xf numFmtId="0" fontId="24" fillId="0" borderId="25" xfId="2" applyFont="1" applyBorder="1">
      <alignment horizontal="left" wrapText="1"/>
    </xf>
    <xf numFmtId="0" fontId="27" fillId="0" borderId="6" xfId="2" applyFont="1" applyBorder="1">
      <alignment horizontal="left" wrapText="1"/>
    </xf>
    <xf numFmtId="0" fontId="27" fillId="0" borderId="6" xfId="2" applyFont="1" applyBorder="1" applyAlignment="1">
      <alignment horizontal="right" wrapText="1"/>
    </xf>
    <xf numFmtId="0" fontId="29" fillId="2" borderId="6" xfId="2" applyFont="1" applyFill="1" applyBorder="1" applyAlignment="1">
      <alignment horizontal="right" wrapText="1"/>
    </xf>
    <xf numFmtId="0" fontId="24" fillId="0" borderId="6" xfId="2" applyFont="1" applyBorder="1" applyAlignment="1">
      <alignment horizontal="right" wrapText="1"/>
    </xf>
    <xf numFmtId="49" fontId="24" fillId="0" borderId="5" xfId="25" applyNumberFormat="1" applyFont="1" applyBorder="1" applyAlignment="1">
      <alignment horizontal="right" wrapText="1"/>
    </xf>
    <xf numFmtId="49" fontId="29" fillId="2" borderId="5" xfId="25" applyNumberFormat="1" applyFont="1" applyFill="1" applyBorder="1" applyAlignment="1">
      <alignment horizontal="right" wrapText="1"/>
    </xf>
    <xf numFmtId="49" fontId="24" fillId="0" borderId="15" xfId="25" applyNumberFormat="1" applyFont="1" applyBorder="1" applyAlignment="1">
      <alignment horizontal="right" wrapText="1"/>
    </xf>
    <xf numFmtId="49" fontId="29" fillId="2" borderId="15" xfId="25" applyNumberFormat="1" applyFont="1" applyFill="1" applyBorder="1" applyAlignment="1">
      <alignment horizontal="right" wrapText="1"/>
    </xf>
    <xf numFmtId="49" fontId="29" fillId="2" borderId="5" xfId="2" applyNumberFormat="1" applyFont="1" applyFill="1" applyBorder="1" applyAlignment="1">
      <alignment horizontal="right" wrapText="1"/>
    </xf>
    <xf numFmtId="49" fontId="24" fillId="0" borderId="5" xfId="2" applyNumberFormat="1" applyFont="1" applyBorder="1" applyAlignment="1">
      <alignment horizontal="right" wrapText="1"/>
    </xf>
    <xf numFmtId="49" fontId="29" fillId="2" borderId="7" xfId="2" applyNumberFormat="1" applyFont="1" applyFill="1" applyBorder="1" applyAlignment="1">
      <alignment horizontal="right" wrapText="1"/>
    </xf>
    <xf numFmtId="49" fontId="24" fillId="0" borderId="7" xfId="2" applyNumberFormat="1" applyFont="1" applyBorder="1" applyAlignment="1">
      <alignment horizontal="right" wrapText="1"/>
    </xf>
    <xf numFmtId="49" fontId="20" fillId="2" borderId="7" xfId="2" applyNumberFormat="1" applyFont="1" applyFill="1" applyBorder="1" applyAlignment="1">
      <alignment horizontal="right" wrapText="1"/>
    </xf>
    <xf numFmtId="49" fontId="27" fillId="0" borderId="7" xfId="2" applyNumberFormat="1" applyFont="1" applyBorder="1" applyAlignment="1">
      <alignment horizontal="right" wrapText="1"/>
    </xf>
    <xf numFmtId="49" fontId="20" fillId="2" borderId="15" xfId="2" applyNumberFormat="1" applyFont="1" applyFill="1" applyBorder="1" applyAlignment="1">
      <alignment horizontal="right" wrapText="1"/>
    </xf>
    <xf numFmtId="49" fontId="27" fillId="0" borderId="15" xfId="2" applyNumberFormat="1" applyFont="1" applyBorder="1" applyAlignment="1">
      <alignment horizontal="right" wrapText="1"/>
    </xf>
    <xf numFmtId="49" fontId="27" fillId="0" borderId="5" xfId="2" applyNumberFormat="1" applyFont="1" applyBorder="1" applyAlignment="1">
      <alignment horizontal="right" wrapText="1"/>
    </xf>
    <xf numFmtId="0" fontId="43" fillId="0" borderId="0" xfId="13" applyFont="1">
      <alignment horizontal="left" wrapText="1"/>
    </xf>
    <xf numFmtId="0" fontId="43" fillId="0" borderId="0" xfId="13" applyFont="1" applyAlignment="1">
      <alignment vertical="top" wrapText="1"/>
    </xf>
    <xf numFmtId="0" fontId="36" fillId="0" borderId="0" xfId="0" applyFont="1"/>
    <xf numFmtId="0" fontId="51" fillId="0" borderId="0" xfId="0" applyFont="1" applyAlignment="1">
      <alignment vertical="center" wrapText="1"/>
    </xf>
    <xf numFmtId="0" fontId="52" fillId="0" borderId="0" xfId="0" applyFont="1" applyAlignment="1">
      <alignment vertical="center" wrapText="1"/>
    </xf>
    <xf numFmtId="0" fontId="24" fillId="0" borderId="0" xfId="2" applyFont="1" applyBorder="1">
      <alignment horizontal="left" wrapText="1"/>
    </xf>
    <xf numFmtId="0" fontId="18" fillId="0" borderId="0" xfId="2" applyFont="1" applyBorder="1" applyAlignment="1">
      <alignment horizontal="center" wrapText="1"/>
    </xf>
    <xf numFmtId="0" fontId="25" fillId="0" borderId="26" xfId="2" applyFont="1" applyBorder="1">
      <alignment horizontal="left" wrapText="1"/>
    </xf>
    <xf numFmtId="0" fontId="18" fillId="0" borderId="27" xfId="2" applyFont="1" applyBorder="1">
      <alignment horizontal="left" wrapText="1"/>
    </xf>
    <xf numFmtId="0" fontId="18" fillId="0" borderId="27" xfId="2" applyFont="1" applyBorder="1" applyAlignment="1">
      <alignment horizontal="right" wrapText="1"/>
    </xf>
    <xf numFmtId="0" fontId="24" fillId="0" borderId="27" xfId="2" applyFont="1" applyBorder="1" applyAlignment="1">
      <alignment horizontal="right" wrapText="1"/>
    </xf>
    <xf numFmtId="0" fontId="25" fillId="0" borderId="27" xfId="2" applyFont="1" applyBorder="1">
      <alignment horizontal="left" wrapText="1"/>
    </xf>
    <xf numFmtId="0" fontId="24" fillId="0" borderId="27" xfId="2" applyFont="1" applyBorder="1">
      <alignment horizontal="left" wrapText="1"/>
    </xf>
    <xf numFmtId="0" fontId="25" fillId="0" borderId="27" xfId="2" applyFont="1" applyBorder="1" applyAlignment="1">
      <alignment wrapText="1"/>
    </xf>
    <xf numFmtId="0" fontId="25" fillId="0" borderId="28" xfId="2" applyFont="1" applyBorder="1">
      <alignment horizontal="left" wrapText="1"/>
    </xf>
    <xf numFmtId="49" fontId="24" fillId="0" borderId="15" xfId="2" applyNumberFormat="1" applyFont="1" applyBorder="1" applyAlignment="1">
      <alignment horizontal="right" wrapText="1"/>
    </xf>
    <xf numFmtId="49" fontId="29" fillId="2" borderId="15" xfId="2" applyNumberFormat="1" applyFont="1" applyFill="1" applyBorder="1" applyAlignment="1">
      <alignment horizontal="right" wrapText="1"/>
    </xf>
    <xf numFmtId="168" fontId="20" fillId="2" borderId="5" xfId="2" applyNumberFormat="1" applyFont="1" applyFill="1" applyBorder="1" applyAlignment="1">
      <alignment horizontal="right" wrapText="1"/>
    </xf>
    <xf numFmtId="174" fontId="29" fillId="2" borderId="7" xfId="2" applyNumberFormat="1" applyFont="1" applyFill="1" applyBorder="1" applyAlignment="1">
      <alignment horizontal="right" vertical="center" wrapText="1"/>
    </xf>
    <xf numFmtId="174" fontId="29" fillId="2" borderId="15" xfId="2" applyNumberFormat="1" applyFont="1" applyFill="1" applyBorder="1" applyAlignment="1">
      <alignment horizontal="right" vertical="center" wrapText="1"/>
    </xf>
    <xf numFmtId="169" fontId="24" fillId="0" borderId="27" xfId="2" applyNumberFormat="1" applyFont="1" applyBorder="1" applyAlignment="1">
      <alignment wrapText="1"/>
    </xf>
    <xf numFmtId="174" fontId="29" fillId="2" borderId="27" xfId="2" applyNumberFormat="1" applyFont="1" applyFill="1" applyBorder="1" applyAlignment="1">
      <alignment horizontal="right" wrapText="1"/>
    </xf>
    <xf numFmtId="169" fontId="29" fillId="2" borderId="27" xfId="2" applyNumberFormat="1" applyFont="1" applyFill="1" applyBorder="1" applyAlignment="1">
      <alignment wrapText="1"/>
    </xf>
    <xf numFmtId="172" fontId="24" fillId="0" borderId="27" xfId="2" applyNumberFormat="1" applyFont="1" applyBorder="1" applyAlignment="1">
      <alignment wrapText="1"/>
    </xf>
    <xf numFmtId="172" fontId="29" fillId="2" borderId="27" xfId="2" applyNumberFormat="1" applyFont="1" applyFill="1" applyBorder="1" applyAlignment="1">
      <alignment wrapText="1"/>
    </xf>
    <xf numFmtId="172" fontId="29" fillId="2" borderId="7" xfId="2" applyNumberFormat="1" applyFont="1" applyFill="1" applyBorder="1" applyAlignment="1">
      <alignment vertical="center" wrapText="1"/>
    </xf>
    <xf numFmtId="0" fontId="29" fillId="2" borderId="7" xfId="2" applyFont="1" applyFill="1" applyBorder="1" applyAlignment="1">
      <alignment horizontal="right" vertical="center" wrapText="1"/>
    </xf>
    <xf numFmtId="177" fontId="29" fillId="2" borderId="7" xfId="2" applyNumberFormat="1" applyFont="1" applyFill="1" applyBorder="1" applyAlignment="1">
      <alignment horizontal="right" wrapText="1"/>
    </xf>
    <xf numFmtId="49" fontId="29" fillId="2" borderId="7" xfId="2" applyNumberFormat="1" applyFont="1" applyFill="1" applyBorder="1" applyAlignment="1">
      <alignment horizontal="right" vertical="center" wrapText="1"/>
    </xf>
    <xf numFmtId="0" fontId="55" fillId="0" borderId="4" xfId="2" applyFont="1" applyBorder="1" applyAlignment="1">
      <alignment horizontal="right" wrapText="1"/>
    </xf>
    <xf numFmtId="0" fontId="21" fillId="0" borderId="0" xfId="2" applyFont="1" applyAlignment="1">
      <alignment wrapText="1"/>
    </xf>
    <xf numFmtId="173" fontId="55" fillId="0" borderId="15" xfId="2" applyNumberFormat="1" applyFont="1" applyBorder="1" applyAlignment="1">
      <alignment horizontal="right" wrapText="1"/>
    </xf>
    <xf numFmtId="164" fontId="55" fillId="0" borderId="17" xfId="2" applyNumberFormat="1" applyFont="1" applyBorder="1" applyAlignment="1">
      <alignment horizontal="right" wrapText="1"/>
    </xf>
    <xf numFmtId="0" fontId="0" fillId="0" borderId="0" xfId="0" applyAlignment="1">
      <alignment horizontal="left"/>
    </xf>
    <xf numFmtId="0" fontId="18" fillId="0" borderId="0" xfId="2" applyFont="1" applyBorder="1" applyAlignment="1">
      <alignment horizontal="left" vertical="top" wrapText="1"/>
    </xf>
    <xf numFmtId="0" fontId="24" fillId="0" borderId="0" xfId="2" applyFont="1" applyBorder="1" applyAlignment="1">
      <alignment horizontal="left" vertical="top" wrapText="1"/>
    </xf>
    <xf numFmtId="0" fontId="55" fillId="0" borderId="4" xfId="2" applyFont="1" applyBorder="1">
      <alignment horizontal="left" wrapText="1"/>
    </xf>
    <xf numFmtId="0" fontId="20" fillId="0" borderId="0" xfId="2" applyFont="1" applyBorder="1" applyAlignment="1">
      <alignment horizontal="right" wrapText="1"/>
    </xf>
    <xf numFmtId="0" fontId="24" fillId="0" borderId="31" xfId="2" applyFont="1" applyBorder="1" applyAlignment="1">
      <alignment horizontal="center" wrapText="1"/>
    </xf>
    <xf numFmtId="0" fontId="20" fillId="0" borderId="32" xfId="2" applyFont="1" applyBorder="1" applyAlignment="1">
      <alignment horizontal="right" wrapText="1"/>
    </xf>
    <xf numFmtId="174" fontId="29" fillId="2" borderId="34" xfId="2" applyNumberFormat="1" applyFont="1" applyFill="1" applyBorder="1" applyAlignment="1">
      <alignment horizontal="right" wrapText="1"/>
    </xf>
    <xf numFmtId="173" fontId="29" fillId="2" borderId="34" xfId="2" applyNumberFormat="1" applyFont="1" applyFill="1" applyBorder="1" applyAlignment="1">
      <alignment horizontal="right" wrapText="1"/>
    </xf>
    <xf numFmtId="174" fontId="20" fillId="2" borderId="34" xfId="2" applyNumberFormat="1" applyFont="1" applyFill="1" applyBorder="1" applyAlignment="1">
      <alignment horizontal="right" wrapText="1"/>
    </xf>
    <xf numFmtId="181" fontId="29" fillId="2" borderId="35" xfId="2" applyNumberFormat="1" applyFont="1" applyFill="1" applyBorder="1" applyAlignment="1">
      <alignment horizontal="right" wrapText="1"/>
    </xf>
    <xf numFmtId="0" fontId="24" fillId="5" borderId="5" xfId="2" applyFont="1" applyFill="1" applyBorder="1">
      <alignment horizontal="left" wrapText="1"/>
    </xf>
    <xf numFmtId="0" fontId="29" fillId="5" borderId="33" xfId="2" applyFont="1" applyFill="1" applyBorder="1">
      <alignment horizontal="left" wrapText="1"/>
    </xf>
    <xf numFmtId="0" fontId="24" fillId="5" borderId="5" xfId="2" applyFont="1" applyFill="1" applyBorder="1" applyAlignment="1">
      <alignment horizontal="right" wrapText="1"/>
    </xf>
    <xf numFmtId="0" fontId="24" fillId="5" borderId="7" xfId="2" applyFont="1" applyFill="1" applyBorder="1" applyAlignment="1">
      <alignment horizontal="right" wrapText="1"/>
    </xf>
    <xf numFmtId="0" fontId="29" fillId="5" borderId="34" xfId="2" applyFont="1" applyFill="1" applyBorder="1">
      <alignment horizontal="left" wrapText="1"/>
    </xf>
    <xf numFmtId="0" fontId="20" fillId="5" borderId="34" xfId="2" applyFont="1" applyFill="1" applyBorder="1">
      <alignment horizontal="left" wrapText="1"/>
    </xf>
    <xf numFmtId="49" fontId="20" fillId="2" borderId="34" xfId="2" applyNumberFormat="1" applyFont="1" applyFill="1" applyBorder="1" applyAlignment="1">
      <alignment horizontal="right" wrapText="1"/>
    </xf>
    <xf numFmtId="49" fontId="29" fillId="2" borderId="34" xfId="2" applyNumberFormat="1" applyFont="1" applyFill="1" applyBorder="1" applyAlignment="1">
      <alignment horizontal="right" wrapText="1"/>
    </xf>
    <xf numFmtId="0" fontId="27" fillId="5" borderId="7" xfId="2" applyFont="1" applyFill="1" applyBorder="1" applyAlignment="1">
      <alignment horizontal="right" wrapText="1"/>
    </xf>
    <xf numFmtId="0" fontId="24" fillId="0" borderId="30" xfId="2" applyFont="1" applyBorder="1">
      <alignment horizontal="left" wrapText="1"/>
    </xf>
    <xf numFmtId="0" fontId="55" fillId="0" borderId="7" xfId="2" applyFont="1" applyBorder="1">
      <alignment horizontal="left" wrapText="1"/>
    </xf>
    <xf numFmtId="0" fontId="27" fillId="0" borderId="0" xfId="2" applyFont="1" applyBorder="1">
      <alignment horizontal="left" wrapText="1"/>
    </xf>
    <xf numFmtId="164" fontId="18" fillId="0" borderId="27" xfId="2" applyNumberFormat="1" applyFont="1" applyBorder="1" applyAlignment="1">
      <alignment horizontal="left" vertical="top" wrapText="1"/>
    </xf>
    <xf numFmtId="0" fontId="18" fillId="0" borderId="27" xfId="2" applyFont="1" applyBorder="1" applyAlignment="1">
      <alignment horizontal="left" vertical="top" wrapText="1"/>
    </xf>
    <xf numFmtId="0" fontId="20" fillId="0" borderId="36" xfId="2" applyFont="1" applyBorder="1">
      <alignment horizontal="left" wrapText="1"/>
    </xf>
    <xf numFmtId="0" fontId="18" fillId="0" borderId="37" xfId="21" applyBorder="1">
      <alignment horizontal="left" wrapText="1"/>
    </xf>
    <xf numFmtId="0" fontId="20" fillId="0" borderId="37" xfId="2" applyFont="1" applyBorder="1">
      <alignment horizontal="left" wrapText="1"/>
    </xf>
    <xf numFmtId="0" fontId="18" fillId="0" borderId="38" xfId="2" applyFont="1" applyBorder="1">
      <alignment horizontal="left" wrapText="1"/>
    </xf>
    <xf numFmtId="0" fontId="56" fillId="0" borderId="0" xfId="2" applyFont="1">
      <alignment horizontal="left" wrapText="1"/>
    </xf>
    <xf numFmtId="0" fontId="18" fillId="0" borderId="16" xfId="2" applyFont="1" applyBorder="1" applyAlignment="1">
      <alignment horizontal="left" vertical="top" wrapText="1"/>
    </xf>
    <xf numFmtId="164" fontId="20" fillId="2" borderId="5" xfId="2" applyNumberFormat="1" applyFont="1" applyFill="1" applyBorder="1" applyAlignment="1">
      <alignment horizontal="right" wrapText="1"/>
    </xf>
    <xf numFmtId="164" fontId="20" fillId="2" borderId="7" xfId="2" applyNumberFormat="1" applyFont="1" applyFill="1" applyBorder="1" applyAlignment="1">
      <alignment horizontal="right" wrapText="1"/>
    </xf>
    <xf numFmtId="183" fontId="29" fillId="2" borderId="15" xfId="2" applyNumberFormat="1" applyFont="1" applyFill="1" applyBorder="1" applyAlignment="1">
      <alignment horizontal="right" wrapText="1"/>
    </xf>
    <xf numFmtId="49" fontId="24" fillId="0" borderId="6" xfId="2" applyNumberFormat="1" applyFont="1" applyBorder="1" applyAlignment="1">
      <alignment horizontal="right" wrapText="1"/>
    </xf>
    <xf numFmtId="182" fontId="29" fillId="2" borderId="16" xfId="2" applyNumberFormat="1" applyFont="1" applyFill="1" applyBorder="1" applyAlignment="1">
      <alignment horizontal="right" vertical="top" wrapText="1"/>
    </xf>
    <xf numFmtId="182" fontId="29" fillId="2" borderId="4" xfId="2" applyNumberFormat="1" applyFont="1" applyFill="1" applyBorder="1" applyAlignment="1">
      <alignment horizontal="right" vertical="top" wrapText="1"/>
    </xf>
    <xf numFmtId="182" fontId="29" fillId="2" borderId="27" xfId="2" applyNumberFormat="1" applyFont="1" applyFill="1" applyBorder="1" applyAlignment="1">
      <alignment horizontal="right" vertical="top" wrapText="1"/>
    </xf>
    <xf numFmtId="183" fontId="20" fillId="2" borderId="7" xfId="2" applyNumberFormat="1" applyFont="1" applyFill="1" applyBorder="1" applyAlignment="1">
      <alignment horizontal="right" wrapText="1"/>
    </xf>
    <xf numFmtId="0" fontId="21" fillId="0" borderId="0" xfId="2" applyFont="1">
      <alignment horizontal="left" wrapText="1"/>
    </xf>
    <xf numFmtId="0" fontId="0" fillId="0" borderId="0" xfId="0"/>
    <xf numFmtId="0" fontId="23" fillId="0" borderId="0" xfId="2" applyFont="1">
      <alignment horizontal="left" wrapText="1"/>
    </xf>
    <xf numFmtId="0" fontId="24" fillId="0" borderId="26" xfId="2" applyFont="1" applyBorder="1">
      <alignment horizontal="left" wrapText="1"/>
    </xf>
    <xf numFmtId="0" fontId="18" fillId="0" borderId="27" xfId="2" applyFont="1" applyBorder="1">
      <alignment horizontal="left" wrapText="1"/>
    </xf>
    <xf numFmtId="0" fontId="7" fillId="0" borderId="0" xfId="2" applyFont="1" applyBorder="1">
      <alignment horizontal="left" wrapText="1"/>
    </xf>
    <xf numFmtId="0" fontId="18" fillId="0" borderId="28" xfId="2" applyFont="1" applyBorder="1">
      <alignment horizontal="left" wrapText="1"/>
    </xf>
    <xf numFmtId="0" fontId="24" fillId="0" borderId="29" xfId="2" applyFont="1" applyBorder="1" applyAlignment="1">
      <alignment horizontal="left" vertical="top" wrapText="1"/>
    </xf>
    <xf numFmtId="0" fontId="24" fillId="0" borderId="6" xfId="2" applyFont="1" applyBorder="1" applyAlignment="1">
      <alignment horizontal="left" vertical="top" wrapText="1"/>
    </xf>
    <xf numFmtId="0" fontId="24" fillId="0" borderId="2" xfId="2" applyFont="1" applyBorder="1" applyAlignment="1">
      <alignment horizontal="left" vertical="top" wrapText="1"/>
    </xf>
    <xf numFmtId="0" fontId="24" fillId="0" borderId="0" xfId="2" applyFont="1" applyAlignment="1">
      <alignment horizontal="left" vertical="top" wrapText="1"/>
    </xf>
    <xf numFmtId="0" fontId="24" fillId="0" borderId="11" xfId="2" applyFont="1" applyBorder="1" applyAlignment="1">
      <alignment horizontal="left" vertical="top" wrapText="1"/>
    </xf>
    <xf numFmtId="0" fontId="24" fillId="0" borderId="12" xfId="2" applyFont="1" applyBorder="1" applyAlignment="1">
      <alignment horizontal="left" vertical="top" wrapText="1"/>
    </xf>
    <xf numFmtId="0" fontId="0" fillId="0" borderId="0" xfId="0" applyAlignment="1">
      <alignment horizontal="center"/>
    </xf>
    <xf numFmtId="0" fontId="7" fillId="0" borderId="16" xfId="2" applyFont="1" applyBorder="1">
      <alignment horizontal="left" wrapText="1"/>
    </xf>
    <xf numFmtId="0" fontId="24" fillId="0" borderId="4" xfId="2" applyFont="1" applyBorder="1" applyAlignment="1">
      <alignment horizontal="left" vertical="top" wrapText="1"/>
    </xf>
    <xf numFmtId="0" fontId="25" fillId="0" borderId="16" xfId="2" applyFont="1" applyBorder="1" applyAlignment="1">
      <alignment horizontal="left" vertical="top" wrapText="1"/>
    </xf>
    <xf numFmtId="0" fontId="25" fillId="0" borderId="0" xfId="2" applyFont="1" applyAlignment="1">
      <alignment horizontal="left" vertical="top" wrapText="1"/>
    </xf>
    <xf numFmtId="0" fontId="25" fillId="0" borderId="6" xfId="2" applyFont="1" applyBorder="1" applyAlignment="1">
      <alignment horizontal="left" vertical="top" wrapText="1"/>
    </xf>
    <xf numFmtId="0" fontId="25" fillId="0" borderId="2" xfId="2" applyFont="1" applyBorder="1" applyAlignment="1">
      <alignment horizontal="left" vertical="top" wrapText="1"/>
    </xf>
    <xf numFmtId="0" fontId="25" fillId="0" borderId="7" xfId="2" applyFont="1" applyBorder="1" applyAlignment="1">
      <alignment horizontal="left" vertical="top" wrapText="1"/>
    </xf>
    <xf numFmtId="0" fontId="25" fillId="0" borderId="15" xfId="2" applyFont="1" applyBorder="1" applyAlignment="1">
      <alignment horizontal="left" vertical="top" wrapText="1"/>
    </xf>
    <xf numFmtId="0" fontId="24" fillId="0" borderId="16" xfId="2" applyFont="1" applyBorder="1" applyAlignment="1">
      <alignment horizontal="left" vertical="center" wrapText="1"/>
    </xf>
    <xf numFmtId="0" fontId="27" fillId="0" borderId="5" xfId="2" applyFont="1" applyBorder="1">
      <alignment horizontal="left" wrapText="1"/>
    </xf>
    <xf numFmtId="0" fontId="27" fillId="0" borderId="7" xfId="2" applyFont="1" applyBorder="1" applyAlignment="1">
      <alignment horizontal="left" vertical="top" wrapText="1"/>
    </xf>
    <xf numFmtId="0" fontId="23" fillId="0" borderId="0" xfId="2" applyFont="1" applyAlignment="1">
      <alignment horizontal="left" vertical="top" wrapText="1"/>
    </xf>
    <xf numFmtId="0" fontId="43" fillId="0" borderId="0" xfId="13" applyFont="1" applyAlignment="1">
      <alignment horizontal="left" vertical="top" wrapText="1"/>
    </xf>
    <xf numFmtId="0" fontId="29" fillId="2" borderId="2" xfId="2" applyFont="1" applyFill="1" applyBorder="1" applyAlignment="1">
      <alignment horizontal="left" vertical="center" wrapText="1"/>
    </xf>
    <xf numFmtId="0" fontId="29" fillId="2" borderId="0" xfId="2" applyFont="1" applyFill="1" applyAlignment="1">
      <alignment horizontal="left" vertical="center" wrapText="1"/>
    </xf>
    <xf numFmtId="0" fontId="29" fillId="2" borderId="4" xfId="2" applyFont="1" applyFill="1" applyBorder="1" applyAlignment="1">
      <alignment horizontal="left" vertical="center" wrapText="1"/>
    </xf>
    <xf numFmtId="170" fontId="29" fillId="2" borderId="16" xfId="2" applyNumberFormat="1" applyFont="1" applyFill="1" applyBorder="1" applyAlignment="1">
      <alignment horizontal="right" vertical="center" wrapText="1"/>
    </xf>
    <xf numFmtId="0" fontId="29" fillId="2" borderId="0" xfId="2" applyFont="1" applyFill="1" applyAlignment="1">
      <alignment horizontal="right" vertical="center" wrapText="1"/>
    </xf>
    <xf numFmtId="0" fontId="29" fillId="2" borderId="4" xfId="2" applyFont="1" applyFill="1" applyBorder="1" applyAlignment="1">
      <alignment horizontal="right" vertical="center" wrapText="1"/>
    </xf>
    <xf numFmtId="0" fontId="24" fillId="0" borderId="0" xfId="2" applyFont="1">
      <alignment horizontal="left" wrapText="1"/>
    </xf>
    <xf numFmtId="0" fontId="24" fillId="0" borderId="4" xfId="2" applyFont="1" applyBorder="1">
      <alignment horizontal="left" wrapText="1"/>
    </xf>
    <xf numFmtId="170" fontId="24" fillId="0" borderId="16" xfId="2" applyNumberFormat="1" applyFont="1" applyBorder="1" applyAlignment="1">
      <alignment horizontal="right" vertical="center" wrapText="1"/>
    </xf>
    <xf numFmtId="0" fontId="24" fillId="0" borderId="0" xfId="2" applyFont="1" applyAlignment="1">
      <alignment horizontal="right" vertical="center" wrapText="1"/>
    </xf>
    <xf numFmtId="0" fontId="24" fillId="0" borderId="4" xfId="2" applyFont="1" applyBorder="1" applyAlignment="1">
      <alignment horizontal="right" vertical="center" wrapText="1"/>
    </xf>
    <xf numFmtId="0" fontId="18" fillId="0" borderId="4" xfId="2" applyFont="1" applyBorder="1" applyAlignment="1">
      <alignment horizontal="center" wrapText="1"/>
    </xf>
    <xf numFmtId="0" fontId="24" fillId="0" borderId="4" xfId="2" applyFont="1" applyBorder="1" applyAlignment="1">
      <alignment horizontal="center" wrapText="1"/>
    </xf>
    <xf numFmtId="0" fontId="30" fillId="0" borderId="16" xfId="2" applyFont="1" applyBorder="1" applyAlignment="1">
      <alignment horizontal="left" vertical="center" wrapText="1"/>
    </xf>
    <xf numFmtId="171" fontId="29" fillId="2" borderId="16" xfId="2" applyNumberFormat="1" applyFont="1" applyFill="1" applyBorder="1" applyAlignment="1">
      <alignment horizontal="right" vertical="center" wrapText="1"/>
    </xf>
    <xf numFmtId="174" fontId="29" fillId="2" borderId="16" xfId="2" applyNumberFormat="1" applyFont="1" applyFill="1" applyBorder="1" applyAlignment="1">
      <alignment horizontal="right" vertical="center" wrapText="1"/>
    </xf>
    <xf numFmtId="175" fontId="24" fillId="0" borderId="16" xfId="2" applyNumberFormat="1" applyFont="1" applyBorder="1" applyAlignment="1">
      <alignment vertical="center" wrapText="1"/>
    </xf>
    <xf numFmtId="175" fontId="29" fillId="2" borderId="16" xfId="2" applyNumberFormat="1" applyFont="1" applyFill="1" applyBorder="1" applyAlignment="1">
      <alignment vertical="center" wrapText="1"/>
    </xf>
    <xf numFmtId="0" fontId="7" fillId="0" borderId="16" xfId="2" applyFont="1" applyBorder="1" applyAlignment="1">
      <alignment horizontal="left" vertical="center" wrapText="1"/>
    </xf>
    <xf numFmtId="176" fontId="29" fillId="2" borderId="16" xfId="2" applyNumberFormat="1" applyFont="1" applyFill="1" applyBorder="1" applyAlignment="1">
      <alignment horizontal="right" vertical="center" wrapText="1"/>
    </xf>
    <xf numFmtId="0" fontId="31" fillId="0" borderId="16" xfId="2" applyFont="1" applyBorder="1" applyAlignment="1">
      <alignment horizontal="left" vertical="center" wrapText="1"/>
    </xf>
    <xf numFmtId="0" fontId="18" fillId="0" borderId="4" xfId="2" applyFont="1" applyBorder="1" applyAlignment="1">
      <alignment horizontal="right" wrapText="1"/>
    </xf>
    <xf numFmtId="0" fontId="24" fillId="0" borderId="4" xfId="2" applyFont="1" applyBorder="1" applyAlignment="1">
      <alignment horizontal="right" wrapText="1"/>
    </xf>
    <xf numFmtId="0" fontId="32" fillId="0" borderId="17" xfId="2" applyFont="1" applyBorder="1" applyAlignment="1">
      <alignment horizontal="right" wrapText="1"/>
    </xf>
    <xf numFmtId="0" fontId="32" fillId="0" borderId="16" xfId="2" applyFont="1" applyBorder="1" applyAlignment="1">
      <alignment horizontal="right" wrapText="1"/>
    </xf>
    <xf numFmtId="0" fontId="23" fillId="0" borderId="0" xfId="2" applyFont="1" applyAlignment="1">
      <alignment horizontal="left" vertical="center" wrapText="1"/>
    </xf>
    <xf numFmtId="0" fontId="24" fillId="0" borderId="16" xfId="2" applyFont="1" applyBorder="1" applyAlignment="1">
      <alignment horizontal="center" wrapText="1"/>
    </xf>
    <xf numFmtId="0" fontId="34" fillId="0" borderId="0" xfId="2" applyFont="1">
      <alignment horizontal="left" wrapText="1"/>
    </xf>
    <xf numFmtId="0" fontId="24" fillId="0" borderId="16" xfId="2" applyFont="1" applyBorder="1">
      <alignment horizontal="left" wrapText="1"/>
    </xf>
    <xf numFmtId="0" fontId="22" fillId="0" borderId="0" xfId="2" applyFont="1">
      <alignment horizontal="left" wrapText="1"/>
    </xf>
    <xf numFmtId="0" fontId="27" fillId="0" borderId="4" xfId="2" applyFont="1" applyBorder="1">
      <alignment horizontal="left" wrapText="1"/>
    </xf>
    <xf numFmtId="0" fontId="24" fillId="0" borderId="16" xfId="2" applyFont="1" applyBorder="1" applyAlignment="1">
      <alignment horizontal="left" vertical="top" wrapText="1"/>
    </xf>
    <xf numFmtId="0" fontId="27" fillId="0" borderId="15" xfId="2" applyFont="1" applyBorder="1">
      <alignment horizontal="left" wrapText="1"/>
    </xf>
    <xf numFmtId="0" fontId="27" fillId="0" borderId="17" xfId="2" applyFont="1" applyBorder="1">
      <alignment horizontal="left" wrapText="1"/>
    </xf>
    <xf numFmtId="0" fontId="27" fillId="0" borderId="7" xfId="2" applyFont="1" applyBorder="1">
      <alignment horizontal="left" wrapText="1"/>
    </xf>
    <xf numFmtId="0" fontId="55" fillId="0" borderId="17" xfId="2" applyFont="1" applyBorder="1">
      <alignment horizontal="left" wrapText="1"/>
    </xf>
    <xf numFmtId="0" fontId="30" fillId="0" borderId="16" xfId="2" applyFont="1" applyBorder="1">
      <alignment horizontal="left" wrapText="1"/>
    </xf>
    <xf numFmtId="0" fontId="29" fillId="0" borderId="16" xfId="2" applyFont="1" applyBorder="1" applyAlignment="1">
      <alignment horizontal="left" vertical="top" wrapText="1"/>
    </xf>
    <xf numFmtId="0" fontId="0" fillId="0" borderId="6" xfId="0" applyBorder="1"/>
    <xf numFmtId="0" fontId="55" fillId="0" borderId="15" xfId="2" applyFont="1" applyBorder="1">
      <alignment horizontal="left" wrapText="1"/>
    </xf>
    <xf numFmtId="0" fontId="27" fillId="0" borderId="30" xfId="2" applyFont="1" applyBorder="1">
      <alignment horizontal="left" wrapText="1"/>
    </xf>
    <xf numFmtId="0" fontId="0" fillId="0" borderId="30" xfId="0" applyBorder="1"/>
    <xf numFmtId="0" fontId="0" fillId="0" borderId="4" xfId="0" applyBorder="1" applyAlignment="1">
      <alignment horizontal="center"/>
    </xf>
    <xf numFmtId="0" fontId="29" fillId="0" borderId="2" xfId="2" applyFont="1" applyBorder="1" applyAlignment="1">
      <alignment horizontal="left" vertical="top" wrapText="1"/>
    </xf>
    <xf numFmtId="0" fontId="0" fillId="0" borderId="4" xfId="0" applyBorder="1"/>
    <xf numFmtId="0" fontId="18" fillId="0" borderId="16" xfId="2" applyFont="1" applyBorder="1" applyAlignment="1">
      <alignment horizontal="left" vertical="top" wrapText="1"/>
    </xf>
    <xf numFmtId="0" fontId="18" fillId="0" borderId="6" xfId="2" applyFont="1" applyBorder="1" applyAlignment="1">
      <alignment horizontal="left" vertical="top" wrapText="1"/>
    </xf>
    <xf numFmtId="0" fontId="18" fillId="0" borderId="7" xfId="2" applyFont="1" applyBorder="1" applyAlignment="1">
      <alignment horizontal="left" vertical="top" wrapText="1"/>
    </xf>
    <xf numFmtId="0" fontId="18" fillId="0" borderId="2" xfId="2" applyFont="1" applyBorder="1" applyAlignment="1">
      <alignment horizontal="left" vertical="top" wrapText="1"/>
    </xf>
    <xf numFmtId="0" fontId="18" fillId="0" borderId="0" xfId="2" applyFont="1" applyBorder="1" applyAlignment="1">
      <alignment horizontal="left" vertical="top" wrapText="1"/>
    </xf>
    <xf numFmtId="0" fontId="18" fillId="0" borderId="4" xfId="2" applyFont="1" applyBorder="1" applyAlignment="1">
      <alignment horizontal="left" vertical="top" wrapText="1"/>
    </xf>
    <xf numFmtId="0" fontId="0" fillId="0" borderId="0" xfId="0" applyAlignment="1">
      <alignment horizontal="left"/>
    </xf>
    <xf numFmtId="0" fontId="20" fillId="0" borderId="4" xfId="2" applyFont="1" applyBorder="1" applyAlignment="1">
      <alignment horizontal="center" wrapText="1"/>
    </xf>
    <xf numFmtId="0" fontId="1" fillId="0" borderId="16" xfId="2" applyFont="1" applyBorder="1">
      <alignment horizontal="left" wrapText="1"/>
    </xf>
    <xf numFmtId="0" fontId="7" fillId="0" borderId="16" xfId="2" applyFont="1" applyBorder="1" applyAlignment="1">
      <alignment horizontal="left" vertical="top" wrapText="1"/>
    </xf>
    <xf numFmtId="0" fontId="1" fillId="0" borderId="0" xfId="1">
      <alignment horizontal="left" wrapText="1"/>
    </xf>
    <xf numFmtId="0" fontId="7" fillId="0" borderId="0" xfId="6">
      <alignment horizontal="left" wrapText="1"/>
    </xf>
    <xf numFmtId="0" fontId="24" fillId="0" borderId="17" xfId="2" applyFont="1" applyBorder="1" applyAlignment="1">
      <alignment horizontal="center" wrapText="1"/>
    </xf>
    <xf numFmtId="0" fontId="24" fillId="0" borderId="25" xfId="2" applyFont="1" applyBorder="1">
      <alignment horizontal="left" wrapText="1"/>
    </xf>
  </cellXfs>
  <cellStyles count="26">
    <cellStyle name="Body" xfId="12" xr:uid="{00000000-0005-0000-0000-000018000000}"/>
    <cellStyle name="Box_Body" xfId="19" xr:uid="{00000000-0005-0000-0000-000028000000}"/>
    <cellStyle name="Chart_Text" xfId="5" xr:uid="{00000000-0005-0000-0000-000005000000}"/>
    <cellStyle name="Col_Head" xfId="10" xr:uid="{00000000-0005-0000-0000-00000E000000}"/>
    <cellStyle name="Footer" xfId="6" xr:uid="{00000000-0005-0000-0000-000006000000}"/>
    <cellStyle name="Footnote" xfId="22" xr:uid="{00000000-0005-0000-0000-00002C000000}"/>
    <cellStyle name="H_0" xfId="14" xr:uid="{00000000-0005-0000-0000-00001F000000}"/>
    <cellStyle name="H_1" xfId="23" xr:uid="{00000000-0005-0000-0000-00002D000000}"/>
    <cellStyle name="H_2" xfId="24" xr:uid="{00000000-0005-0000-0000-00002F000000}"/>
    <cellStyle name="H_2Copy" xfId="20" xr:uid="{00000000-0005-0000-0000-00002A000000}"/>
    <cellStyle name="H_3" xfId="3" xr:uid="{00000000-0005-0000-0000-000003000000}"/>
    <cellStyle name="H_3_Notes" xfId="18" xr:uid="{00000000-0005-0000-0000-000026000000}"/>
    <cellStyle name="H_4" xfId="4" xr:uid="{00000000-0005-0000-0000-000004000000}"/>
    <cellStyle name="H_5" xfId="16" xr:uid="{00000000-0005-0000-0000-000024000000}"/>
    <cellStyle name="H_6" xfId="17" xr:uid="{00000000-0005-0000-0000-000025000000}"/>
    <cellStyle name="Header" xfId="15" xr:uid="{00000000-0005-0000-0000-000023000000}"/>
    <cellStyle name="Intro" xfId="21" xr:uid="{00000000-0005-0000-0000-00002B000000}"/>
    <cellStyle name="Link" xfId="13" xr:uid="{00000000-0005-0000-0000-00001E000000}"/>
    <cellStyle name="Normal" xfId="2" xr:uid="{00000000-0005-0000-0000-000000000000}"/>
    <cellStyle name="PageNumber" xfId="7" xr:uid="{00000000-0005-0000-0000-000007000000}"/>
    <cellStyle name="Prozent" xfId="25" builtinId="5"/>
    <cellStyle name="Quote" xfId="8" xr:uid="{00000000-0005-0000-0000-000008000000}"/>
    <cellStyle name="Standard" xfId="0" builtinId="0"/>
    <cellStyle name="Tab_Fig" xfId="11" xr:uid="{00000000-0005-0000-0000-000011000000}"/>
    <cellStyle name="Table Normal" xfId="1" xr:uid="{00000000-0005-0000-0000-000001000000}"/>
    <cellStyle name="TOC_Body" xfId="9" xr:uid="{00000000-0005-0000-0000-000009000000}"/>
  </cellStyles>
  <dxfs count="0"/>
  <tableStyles count="0"/>
  <colors>
    <mruColors>
      <color rgb="FF0576A7"/>
      <color rgb="FFD9EA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0"/>
  <sheetViews>
    <sheetView tabSelected="1" showRuler="0" workbookViewId="0"/>
  </sheetViews>
  <sheetFormatPr baseColWidth="10" defaultColWidth="12.83203125" defaultRowHeight="13"/>
  <cols>
    <col min="1" max="1" width="91.83203125" bestFit="1" customWidth="1"/>
    <col min="2" max="9" width="92.33203125" customWidth="1"/>
  </cols>
  <sheetData>
    <row r="1" spans="1:1" ht="17">
      <c r="A1" s="3" t="s">
        <v>0</v>
      </c>
    </row>
    <row r="3" spans="1:1" s="240" customFormat="1" ht="14">
      <c r="A3" s="300" t="str">
        <f>HYPERLINK("#'Tab.01'!A3","Individual disclosure of meeting participation")</f>
        <v>Individual disclosure of meeting participation</v>
      </c>
    </row>
    <row r="4" spans="1:1" s="240" customFormat="1" ht="14">
      <c r="A4" s="300" t="str">
        <f>HYPERLINK("#'Tab.02'!A3","Skills profile for the Supervisory Board as a whole")</f>
        <v>Skills profile for the Supervisory Board as a whole</v>
      </c>
    </row>
    <row r="5" spans="1:1" s="240" customFormat="1" ht="14">
      <c r="A5" s="300" t="str">
        <f>HYPERLINK("#'Tab.03'!A3","Skills profile implementation status")</f>
        <v>Skills profile implementation status</v>
      </c>
    </row>
    <row r="6" spans="1:1" s="240" customFormat="1" ht="14">
      <c r="A6" s="300" t="str">
        <f>HYPERLINK("#'Tab.04'!A3","Fundamentals of the 2023 compensation system")</f>
        <v>Fundamentals of the 2023 compensation system</v>
      </c>
    </row>
    <row r="7" spans="1:1" s="240" customFormat="1" ht="14">
      <c r="A7" s="300" t="str">
        <f>HYPERLINK("#'Tab.05'!A3","2024/25 annual bonus — achievement of operating earnings before taxes (EBT) target")</f>
        <v>2024/25 annual bonus — achievement of operating earnings before taxes (EBT) target</v>
      </c>
    </row>
    <row r="8" spans="1:1" s="240" customFormat="1" ht="14">
      <c r="A8" s="300" t="str">
        <f>HYPERLINK("#'Tab.06'!A3","2024/25 annual bonus — achievement of individual performance targets")</f>
        <v>2024/25 annual bonus — achievement of individual performance targets</v>
      </c>
    </row>
    <row r="9" spans="1:1" s="240" customFormat="1" ht="14">
      <c r="A9" s="300" t="str">
        <f>HYPERLINK("#'Tab.07'!A3","2024/25 annual bonus — achievement of ESG targets")</f>
        <v>2024/25 annual bonus — achievement of ESG targets</v>
      </c>
    </row>
    <row r="10" spans="1:1" s="240" customFormat="1" ht="14">
      <c r="A10" s="300" t="str">
        <f>HYPERLINK("#'Tab.08'!A3","2024/25 annual bonus — overall target achievement and payout")</f>
        <v>2024/25 annual bonus — overall target achievement and payout</v>
      </c>
    </row>
    <row r="11" spans="1:1" s="240" customFormat="1" ht="14">
      <c r="A11" s="300" t="str">
        <f>HYPERLINK("#'Tab.09'!A3","2024/25 performance share plan — allocation")</f>
        <v>2024/25 performance share plan — allocation</v>
      </c>
    </row>
    <row r="12" spans="1:1" s="240" customFormat="1" ht="14">
      <c r="A12" s="300" t="str">
        <f>HYPERLINK("#'Tab.10'!A3","2021/22 deferred stock")</f>
        <v>2021/22 deferred stock</v>
      </c>
    </row>
    <row r="13" spans="1:1" s="240" customFormat="1" ht="14">
      <c r="A13" s="300" t="str">
        <f>HYPERLINK("#'Tab.11'!A3","2021/22 performance cash plan — operating ROCE target achievement")</f>
        <v>2021/22 performance cash plan — operating ROCE target achievement</v>
      </c>
    </row>
    <row r="14" spans="1:1" s="240" customFormat="1" ht="14">
      <c r="A14" s="300" t="str">
        <f>HYPERLINK("#'Tab.12'!A3","2021/22 performance cash plan — payout")</f>
        <v>2021/22 performance cash plan — payout</v>
      </c>
    </row>
    <row r="15" spans="1:1" s="240" customFormat="1" ht="14">
      <c r="A15" s="300" t="str">
        <f>HYPERLINK("#'Tab.13'!A3","Target compensation in fiscal year 2024/251")</f>
        <v>Target compensation in fiscal year 2024/251</v>
      </c>
    </row>
    <row r="16" spans="1:1" s="240" customFormat="1" ht="28">
      <c r="A16" s="300" t="str">
        <f>HYPERLINK("#'Tab.14'!A3","Compensation granted and owed to active Executive Board members in accordance with Section 162 of the German Stock Corporation Act (AktG) in fiscal year 2024/251")</f>
        <v>Compensation granted and owed to active Executive Board members in accordance with Section 162 of the German Stock Corporation Act (AktG) in fiscal year 2024/251</v>
      </c>
    </row>
    <row r="17" spans="1:1" s="240" customFormat="1" ht="28">
      <c r="A17" s="300" t="str">
        <f>HYPERLINK("#'Tab.15'!A3","Compensation granted and owed to former Executive Board members in accordance with Section 162 of the German Stock Corporation Act (AktG) in fiscal year 2024/25")</f>
        <v>Compensation granted and owed to former Executive Board members in accordance with Section 162 of the German Stock Corporation Act (AktG) in fiscal year 2024/25</v>
      </c>
    </row>
    <row r="18" spans="1:1" s="240" customFormat="1" ht="28">
      <c r="A18" s="300" t="str">
        <f>HYPERLINK("#'Tab.16'!A3","Compensation granted and owed to the Supervisory Board in fiscal year 2024/25 in accordance with Section 162 of the German Stock Corporation Act (AktG)1")</f>
        <v>Compensation granted and owed to the Supervisory Board in fiscal year 2024/25 in accordance with Section 162 of the German Stock Corporation Act (AktG)1</v>
      </c>
    </row>
    <row r="19" spans="1:1" s="240" customFormat="1" ht="28">
      <c r="A19" s="300" t="str">
        <f>HYPERLINK("#'Tab.17'!A3","Compensation granted and owed to the Supervisory Board in fiscal year 2023/24 in accordance with Section 162 of the German Stock Corporation Act (AktG)1")</f>
        <v>Compensation granted and owed to the Supervisory Board in fiscal year 2023/24 in accordance with Section 162 of the German Stock Corporation Act (AktG)1</v>
      </c>
    </row>
    <row r="20" spans="1:1" s="240" customFormat="1" ht="14">
      <c r="A20" s="300" t="str">
        <f>HYPERLINK("#'Tab.18'!A3","Comparative presentation")</f>
        <v>Comparative presentation</v>
      </c>
    </row>
    <row r="21" spans="1:1" s="240" customFormat="1" ht="14">
      <c r="A21" s="300" t="str">
        <f>HYPERLINK("#'Tab.19'!A3","Key figures for Aurubis shares")</f>
        <v>Key figures for Aurubis shares</v>
      </c>
    </row>
    <row r="22" spans="1:1" s="240" customFormat="1" ht="14">
      <c r="A22" s="300" t="str">
        <f>HYPERLINK("#'Tab.20'!A3","Informationen zur Aktie")</f>
        <v>Informationen zur Aktie</v>
      </c>
    </row>
    <row r="23" spans="1:1" s="240" customFormat="1" ht="14">
      <c r="A23" s="300" t="str">
        <f>HYPERLINK("#'Tab.21'!A3","Analyst coverage 2024/25")</f>
        <v>Analyst coverage 2024/25</v>
      </c>
    </row>
    <row r="24" spans="1:1" s="240" customFormat="1" ht="14">
      <c r="A24" s="300" t="str">
        <f>HYPERLINK("#'Tab.22'!A3","Sites and employees")</f>
        <v>Sites and employees</v>
      </c>
    </row>
    <row r="25" spans="1:1" s="240" customFormat="1" ht="14">
      <c r="A25" s="300" t="str">
        <f>HYPERLINK("#'Tab.23'!A3","Operating return on capital employed (ROCE)")</f>
        <v>Operating return on capital employed (ROCE)</v>
      </c>
    </row>
    <row r="26" spans="1:1" s="240" customFormat="1" ht="14">
      <c r="A26" s="300" t="str">
        <f>HYPERLINK("#'Tab.24'!A3","Safety KPIs for Aurubis employees, temporary workers, and contractor workers")</f>
        <v>Safety KPIs for Aurubis employees, temporary workers, and contractor workers</v>
      </c>
    </row>
    <row r="27" spans="1:1" s="240" customFormat="1" ht="14">
      <c r="A27" s="300" t="str">
        <f>HYPERLINK("#'Tab.25'!A3","Reconciliation of the consolidated income statement")</f>
        <v>Reconciliation of the consolidated income statement</v>
      </c>
    </row>
    <row r="28" spans="1:1" s="240" customFormat="1" ht="14">
      <c r="A28" s="300" t="str">
        <f>HYPERLINK("#'Tab.26'!A3","Breakdown of revenues by sales markets")</f>
        <v>Breakdown of revenues by sales markets</v>
      </c>
    </row>
    <row r="29" spans="1:1" s="240" customFormat="1" ht="14">
      <c r="A29" s="300" t="str">
        <f>HYPERLINK("#'Tab.27'!A3","Breakdown of borrowings")</f>
        <v>Breakdown of borrowings</v>
      </c>
    </row>
    <row r="30" spans="1:1" s="240" customFormat="1" ht="14">
      <c r="A30" s="300" t="str">
        <f>HYPERLINK("#'Tab.28'!A3","IFRS structure of the statement of financial position of the Group")</f>
        <v>IFRS structure of the statement of financial position of the Group</v>
      </c>
    </row>
    <row r="31" spans="1:1" s="240" customFormat="1" ht="14">
      <c r="A31" s="300" t="str">
        <f>HYPERLINK("#'Tab.29'!A3","Reconciliation to the consolidated statement of financial position")</f>
        <v>Reconciliation to the consolidated statement of financial position</v>
      </c>
    </row>
    <row r="32" spans="1:1" s="240" customFormat="1" ht="14">
      <c r="A32" s="300" t="str">
        <f>HYPERLINK("#'Tab.30'!A3","Operating return on capital employed (ROCE)")</f>
        <v>Operating return on capital employed (ROCE)</v>
      </c>
    </row>
    <row r="33" spans="1:1" s="240" customFormat="1" ht="14">
      <c r="A33" s="300" t="str">
        <f>HYPERLINK("#'Tab.31'!A3","Financial position of the Aurubis Group")</f>
        <v>Financial position of the Aurubis Group</v>
      </c>
    </row>
    <row r="34" spans="1:1" s="240" customFormat="1" ht="14">
      <c r="A34" s="300" t="str">
        <f>HYPERLINK("#'Tab.32'!A3","Cash flow statement of the Group")</f>
        <v>Cash flow statement of the Group</v>
      </c>
    </row>
    <row r="35" spans="1:1" s="240" customFormat="1" ht="14">
      <c r="A35" s="300" t="str">
        <f>HYPERLINK("#'Tab.33'!A3","Net financial position of the Group")</f>
        <v>Net financial position of the Group</v>
      </c>
    </row>
    <row r="36" spans="1:1" s="240" customFormat="1" ht="14">
      <c r="A36" s="300" t="str">
        <f>HYPERLINK("#'Tab.34'!A3","Multimetal Recycling segment")</f>
        <v>Multimetal Recycling segment</v>
      </c>
    </row>
    <row r="37" spans="1:1" s="240" customFormat="1" ht="14">
      <c r="A37" s="300" t="str">
        <f>HYPERLINK("#'Tab.35'!A3","Custom Smelting &amp; Products segment")</f>
        <v>Custom Smelting &amp; Products segment</v>
      </c>
    </row>
    <row r="38" spans="1:1" s="240" customFormat="1" ht="14">
      <c r="A38" s="300" t="str">
        <f>HYPERLINK("#'Tab.36'!A3","Sales volumes of other metals")</f>
        <v>Sales volumes of other metals</v>
      </c>
    </row>
    <row r="39" spans="1:1" s="240" customFormat="1" ht="14">
      <c r="A39" s="300" t="str">
        <f>HYPERLINK("#'Tab.37'!A3","Income statement")</f>
        <v>Income statement</v>
      </c>
    </row>
    <row r="40" spans="1:1" s="240" customFormat="1" ht="14">
      <c r="A40" s="300" t="str">
        <f>HYPERLINK("#'Tab.38'!A3","Balance sheet structure of Aurubis AG")</f>
        <v>Balance sheet structure of Aurubis AG</v>
      </c>
    </row>
    <row r="41" spans="1:1" s="240" customFormat="1" ht="14">
      <c r="A41" s="300" t="str">
        <f>HYPERLINK("#'Tab.39'!A3","Potential effect on earnings ")</f>
        <v xml:space="preserve">Potential effect on earnings </v>
      </c>
    </row>
    <row r="42" spans="1:1" s="240" customFormat="1" ht="14">
      <c r="A42" s="300" t="str">
        <f>HYPERLINK("#'Tab.40'!A3","Overview of key performance indicators in line with the EU Taxonomy")</f>
        <v>Overview of key performance indicators in line with the EU Taxonomy</v>
      </c>
    </row>
    <row r="43" spans="1:1" s="240" customFormat="1" ht="14">
      <c r="A43" s="300" t="str">
        <f>HYPERLINK("#'Tab.41'!A3","Energy consumption and mix")</f>
        <v>Energy consumption and mix</v>
      </c>
    </row>
    <row r="44" spans="1:1" s="240" customFormat="1" ht="14">
      <c r="A44" s="300" t="str">
        <f>HYPERLINK("#'Tab.42'!A3","Energy intensity per net revenue1")</f>
        <v>Energy intensity per net revenue1</v>
      </c>
    </row>
    <row r="45" spans="1:1" s="240" customFormat="1" ht="14">
      <c r="A45" s="300" t="str">
        <f>HYPERLINK("#'Tab.43'!A3","Renewable and non-renewable energy production")</f>
        <v>Renewable and non-renewable energy production</v>
      </c>
    </row>
    <row r="46" spans="1:1" s="240" customFormat="1" ht="14">
      <c r="A46" s="300" t="str">
        <f>HYPERLINK("#'Tab.44'!A3","Total GHG emissions by Scope 1, Scope 2 and significant Scope 3 emissions (as per E1-6 AR 48)")</f>
        <v>Total GHG emissions by Scope 1, Scope 2 and significant Scope 3 emissions (as per E1-6 AR 48)</v>
      </c>
    </row>
    <row r="47" spans="1:1" s="240" customFormat="1" ht="14">
      <c r="A47" s="300" t="str">
        <f>HYPERLINK("#'Tab.45'!A3","Air pollutant emissions ")</f>
        <v xml:space="preserve">Air pollutant emissions </v>
      </c>
    </row>
    <row r="48" spans="1:1" s="240" customFormat="1" ht="14">
      <c r="A48" s="300" t="str">
        <f>HYPERLINK("#'Tab.46'!A3","Allocation of resource inflows1")</f>
        <v>Allocation of resource inflows1</v>
      </c>
    </row>
    <row r="49" spans="1:1" s="240" customFormat="1" ht="14">
      <c r="A49" s="300" t="str">
        <f>HYPERLINK("#'Tab.47'!A3","Recycled content of products (%)")</f>
        <v>Recycled content of products (%)</v>
      </c>
    </row>
    <row r="50" spans="1:1" s="240" customFormat="1" ht="14">
      <c r="A50" s="300" t="str">
        <f>HYPERLINK("#'Tab.48'!A3","Characteristics of the undertaking’s employees")</f>
        <v>Characteristics of the undertaking’s employees</v>
      </c>
    </row>
    <row r="51" spans="1:1" s="240" customFormat="1" ht="14">
      <c r="A51" s="300" t="str">
        <f>HYPERLINK("#'Tab.49'!A3","Number of employees by gender")</f>
        <v>Number of employees by gender</v>
      </c>
    </row>
    <row r="52" spans="1:1" s="240" customFormat="1" ht="14">
      <c r="A52" s="300" t="str">
        <f>HYPERLINK("#'Tab.50'!A3","Number of employees by contract type,1 broken down by gender2")</f>
        <v>Number of employees by contract type,1 broken down by gender2</v>
      </c>
    </row>
    <row r="53" spans="1:1" s="240" customFormat="1" ht="14">
      <c r="A53" s="300" t="str">
        <f>HYPERLINK("#'Tab.51'!A3","Collective bargaining coverage and social dialogue")</f>
        <v>Collective bargaining coverage and social dialogue</v>
      </c>
    </row>
    <row r="54" spans="1:1" s="240" customFormat="1" ht="14">
      <c r="A54" s="300" t="str">
        <f>HYPERLINK("#'Tab.52'!A3","Gender distribution at top management level")</f>
        <v>Gender distribution at top management level</v>
      </c>
    </row>
    <row r="55" spans="1:1" s="240" customFormat="1" ht="14">
      <c r="A55" s="300" t="str">
        <f>HYPERLINK("#'Tab.53'!A3","Employee age structure")</f>
        <v>Employee age structure</v>
      </c>
    </row>
    <row r="56" spans="1:1" s="240" customFormat="1" ht="14">
      <c r="A56" s="300" t="str">
        <f>HYPERLINK("#'Tab.54'!A3","Training metrics")</f>
        <v>Training metrics</v>
      </c>
    </row>
    <row r="57" spans="1:1" s="240" customFormat="1" ht="14">
      <c r="A57" s="300" t="str">
        <f>HYPERLINK("#'Tab.55'!A3","Health and safety metrics")</f>
        <v>Health and safety metrics</v>
      </c>
    </row>
    <row r="58" spans="1:1" s="240" customFormat="1" ht="14">
      <c r="A58" s="300" t="str">
        <f>HYPERLINK("#'Tab.56'!A3","Incidents, complaints and severe human rights impacts")</f>
        <v>Incidents, complaints and severe human rights impacts</v>
      </c>
    </row>
    <row r="59" spans="1:1" s="240" customFormat="1" ht="14">
      <c r="A59" s="300" t="str">
        <f>HYPERLINK("#'Tab.57'!A3","Reporting template turnover ")</f>
        <v xml:space="preserve">Reporting template turnover </v>
      </c>
    </row>
    <row r="60" spans="1:1" s="240" customFormat="1" ht="14">
      <c r="A60" s="300" t="str">
        <f>HYPERLINK("#'Tab.58'!A3","Share of turnover/total turnover")</f>
        <v>Share of turnover/total turnover</v>
      </c>
    </row>
    <row r="61" spans="1:1" s="240" customFormat="1" ht="14">
      <c r="A61" s="300" t="str">
        <f>HYPERLINK("#'Tab.59'!A3","Reporting template OpEx")</f>
        <v>Reporting template OpEx</v>
      </c>
    </row>
    <row r="62" spans="1:1" s="240" customFormat="1" ht="14">
      <c r="A62" s="300" t="str">
        <f>HYPERLINK("#'Tab.60'!A3","Share of OpEx/total OpEx")</f>
        <v>Share of OpEx/total OpEx</v>
      </c>
    </row>
    <row r="63" spans="1:1" s="240" customFormat="1" ht="14">
      <c r="A63" s="300" t="str">
        <f>HYPERLINK("#'Tab.61'!A3","Reporting template CapEx")</f>
        <v>Reporting template CapEx</v>
      </c>
    </row>
    <row r="64" spans="1:1" s="240" customFormat="1" ht="14">
      <c r="A64" s="300" t="str">
        <f>HYPERLINK("#'Tab.62'!A3","Share of OpEx/total OpEx")</f>
        <v>Share of OpEx/total OpEx</v>
      </c>
    </row>
    <row r="65" spans="1:1" s="240" customFormat="1" ht="14">
      <c r="A65" s="300" t="str">
        <f>HYPERLINK("#'Tab.63'!A3","Taxonomy-aligned turnover counter")</f>
        <v>Taxonomy-aligned turnover counter</v>
      </c>
    </row>
    <row r="66" spans="1:1" s="240" customFormat="1" ht="14">
      <c r="A66" s="300" t="str">
        <f>HYPERLINK("#'Tab.64'!A3","Taxonomy-aligned OpEx counter")</f>
        <v>Taxonomy-aligned OpEx counter</v>
      </c>
    </row>
    <row r="67" spans="1:1" s="240" customFormat="1" ht="14">
      <c r="A67" s="300" t="str">
        <f>HYPERLINK("#'Tab.65'!A3","Taxonomy-aligned CapEx counter")</f>
        <v>Taxonomy-aligned CapEx counter</v>
      </c>
    </row>
    <row r="68" spans="1:1" s="240" customFormat="1" ht="14">
      <c r="A68" s="300" t="str">
        <f>HYPERLINK("#'Tab.66'!A3","Taxonomy-eligible activities at Aurubis | Allocation to environmental objective — Climate change mitigation ")</f>
        <v xml:space="preserve">Taxonomy-eligible activities at Aurubis | Allocation to environmental objective — Climate change mitigation </v>
      </c>
    </row>
    <row r="69" spans="1:1" s="240" customFormat="1" ht="14">
      <c r="A69" s="300" t="str">
        <f>HYPERLINK("#'Tab.67'!A3","Activities related to nuclear energy and fossil gas")</f>
        <v>Activities related to nuclear energy and fossil gas</v>
      </c>
    </row>
    <row r="70" spans="1:1" s="240" customFormat="1" ht="14">
      <c r="A70" s="300" t="str">
        <f>HYPERLINK("#'Tab.68'!A3","Consolidated Income Statement for the period from October 1 to September 30 (IFRS)")</f>
        <v>Consolidated Income Statement for the period from October 1 to September 30 (IFRS)</v>
      </c>
    </row>
    <row r="71" spans="1:1" s="240" customFormat="1" ht="14">
      <c r="A71" s="300" t="str">
        <f>HYPERLINK("#'Tab.69'!A3","Consolidated Statement of Comprehensive Income for the period from October 1 to September 30 (IFRS)")</f>
        <v>Consolidated Statement of Comprehensive Income for the period from October 1 to September 30 (IFRS)</v>
      </c>
    </row>
    <row r="72" spans="1:1" s="240" customFormat="1" ht="14">
      <c r="A72" s="300" t="str">
        <f>HYPERLINK("#'Tab.70'!A3","Consolidated Statement of Financial Position Assets (IFRS)")</f>
        <v>Consolidated Statement of Financial Position Assets (IFRS)</v>
      </c>
    </row>
    <row r="73" spans="1:1" s="240" customFormat="1" ht="14">
      <c r="A73" s="300" t="str">
        <f>HYPERLINK("#'Tab.71'!A3","Consolidated Statement of Financial Position Equity and liabilities (IFRS)")</f>
        <v>Consolidated Statement of Financial Position Equity and liabilities (IFRS)</v>
      </c>
    </row>
    <row r="74" spans="1:1" s="240" customFormat="1" ht="14">
      <c r="A74" s="300" t="str">
        <f>HYPERLINK("#'Tab.72'!A3","Consolidated Cash Flow Statement for the period from October 1 to September 30 (IFRS)")</f>
        <v>Consolidated Cash Flow Statement for the period from October 1 to September 30 (IFRS)</v>
      </c>
    </row>
    <row r="75" spans="1:1" s="240" customFormat="1" ht="14">
      <c r="A75" s="300" t="str">
        <f>HYPERLINK("#'Tab.73'!A3","Consolidated Statement of Changes in Equity")</f>
        <v>Consolidated Statement of Changes in Equity</v>
      </c>
    </row>
    <row r="76" spans="1:1" s="240" customFormat="1" ht="14">
      <c r="A76" s="300" t="str">
        <f>HYPERLINK("#'Tab.74'!A3","Financial calendar")</f>
        <v>Financial calendar</v>
      </c>
    </row>
    <row r="77" spans="1:1" s="240" customFormat="1" ht="14">
      <c r="A77" s="300" t="str">
        <f>HYPERLINK("#'Tab.75'!A3","5-Year Overview Aurubis Group (IFRS)")</f>
        <v>5-Year Overview Aurubis Group (IFRS)</v>
      </c>
    </row>
    <row r="78" spans="1:1" s="240" customFormat="1" ht="16">
      <c r="A78" s="242"/>
    </row>
    <row r="79" spans="1:1" s="240" customFormat="1" ht="16">
      <c r="A79" s="242"/>
    </row>
    <row r="80" spans="1:1" ht="15">
      <c r="A80" s="241"/>
    </row>
  </sheetData>
  <phoneticPr fontId="50" type="noConversion"/>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0"/>
  <sheetViews>
    <sheetView showRuler="0" workbookViewId="0">
      <selection activeCell="A2" sqref="A2:D2"/>
    </sheetView>
  </sheetViews>
  <sheetFormatPr baseColWidth="10" defaultColWidth="12.83203125" defaultRowHeight="13"/>
  <cols>
    <col min="1" max="1" width="56.5" customWidth="1"/>
    <col min="2" max="4" width="20.1640625" customWidth="1"/>
  </cols>
  <sheetData>
    <row r="1" spans="1:4" ht="14">
      <c r="A1" s="239" t="str">
        <f>HYPERLINK("#'Index'!A1","Back to index")</f>
        <v>Back to index</v>
      </c>
    </row>
    <row r="2" spans="1:4" ht="25" customHeight="1">
      <c r="A2" s="310" t="s">
        <v>49</v>
      </c>
      <c r="B2" s="311"/>
      <c r="C2" s="311"/>
      <c r="D2" s="311"/>
    </row>
    <row r="3" spans="1:4" ht="22.5" customHeight="1">
      <c r="A3" s="312" t="s">
        <v>6</v>
      </c>
      <c r="B3" s="311"/>
      <c r="C3" s="311"/>
      <c r="D3" s="311"/>
    </row>
    <row r="4" spans="1:4">
      <c r="A4" s="323"/>
      <c r="B4" s="323"/>
      <c r="C4" s="323"/>
      <c r="D4" s="323"/>
    </row>
    <row r="5" spans="1:4" ht="41" customHeight="1">
      <c r="A5" s="5" t="s">
        <v>216</v>
      </c>
      <c r="B5" s="29" t="s">
        <v>229</v>
      </c>
      <c r="C5" s="29" t="s">
        <v>230</v>
      </c>
      <c r="D5" s="29" t="s">
        <v>231</v>
      </c>
    </row>
    <row r="6" spans="1:4" ht="17">
      <c r="A6" s="14" t="s">
        <v>225</v>
      </c>
      <c r="B6" s="59">
        <v>660000</v>
      </c>
      <c r="C6" s="352">
        <v>68.62</v>
      </c>
      <c r="D6" s="111">
        <v>9618.19</v>
      </c>
    </row>
    <row r="7" spans="1:4" ht="17">
      <c r="A7" s="16" t="s">
        <v>226</v>
      </c>
      <c r="B7" s="61">
        <v>525000</v>
      </c>
      <c r="C7" s="341"/>
      <c r="D7" s="256">
        <v>7650.83</v>
      </c>
    </row>
    <row r="8" spans="1:4" ht="17">
      <c r="A8" s="16" t="s">
        <v>227</v>
      </c>
      <c r="B8" s="61">
        <v>525000</v>
      </c>
      <c r="C8" s="341"/>
      <c r="D8" s="256">
        <v>7650.83</v>
      </c>
    </row>
    <row r="9" spans="1:4" ht="17">
      <c r="A9" s="21" t="s">
        <v>228</v>
      </c>
      <c r="B9" s="62">
        <v>444000</v>
      </c>
      <c r="C9" s="342"/>
      <c r="D9" s="257">
        <v>6470.42</v>
      </c>
    </row>
    <row r="10" spans="1:4">
      <c r="A10" s="350"/>
      <c r="B10" s="350"/>
      <c r="C10" s="350"/>
      <c r="D10" s="350"/>
    </row>
  </sheetData>
  <mergeCells count="5">
    <mergeCell ref="A2:D2"/>
    <mergeCell ref="A3:D3"/>
    <mergeCell ref="C6:C9"/>
    <mergeCell ref="A10:D10"/>
    <mergeCell ref="A4:D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9"/>
  <sheetViews>
    <sheetView showRuler="0" workbookViewId="0">
      <selection activeCell="A2" sqref="A2:F2"/>
    </sheetView>
  </sheetViews>
  <sheetFormatPr baseColWidth="10" defaultColWidth="12.83203125" defaultRowHeight="13"/>
  <cols>
    <col min="1" max="1" width="41.83203125" customWidth="1"/>
    <col min="2" max="6" width="20.1640625" customWidth="1"/>
  </cols>
  <sheetData>
    <row r="1" spans="1:6" ht="14">
      <c r="A1" s="239" t="str">
        <f>HYPERLINK("#'Index'!A1","Back to index")</f>
        <v>Back to index</v>
      </c>
    </row>
    <row r="2" spans="1:6" ht="25" customHeight="1">
      <c r="A2" s="310" t="s">
        <v>49</v>
      </c>
      <c r="B2" s="311"/>
      <c r="C2" s="311"/>
      <c r="D2" s="311"/>
      <c r="E2" s="311"/>
      <c r="F2" s="311"/>
    </row>
    <row r="3" spans="1:6" ht="22.5" customHeight="1">
      <c r="A3" s="312" t="s">
        <v>7</v>
      </c>
      <c r="B3" s="311"/>
      <c r="C3" s="311"/>
      <c r="D3" s="311"/>
      <c r="E3" s="311"/>
      <c r="F3" s="311"/>
    </row>
    <row r="4" spans="1:6">
      <c r="A4" s="323"/>
      <c r="B4" s="323"/>
      <c r="C4" s="323"/>
      <c r="D4" s="323"/>
      <c r="E4" s="323"/>
      <c r="F4" s="323"/>
    </row>
    <row r="5" spans="1:6" ht="34">
      <c r="A5" s="5" t="s">
        <v>216</v>
      </c>
      <c r="B5" s="28" t="s">
        <v>232</v>
      </c>
      <c r="C5" s="28" t="s">
        <v>230</v>
      </c>
      <c r="D5" s="29" t="s">
        <v>233</v>
      </c>
      <c r="E5" s="29" t="s">
        <v>234</v>
      </c>
      <c r="F5" s="29" t="s">
        <v>235</v>
      </c>
    </row>
    <row r="6" spans="1:6" ht="17">
      <c r="A6" s="63" t="s">
        <v>236</v>
      </c>
      <c r="B6" s="64">
        <v>272800</v>
      </c>
      <c r="C6" s="353">
        <v>59.15</v>
      </c>
      <c r="D6" s="60">
        <v>4612</v>
      </c>
      <c r="E6" s="354">
        <v>98.32</v>
      </c>
      <c r="F6" s="65">
        <v>409200</v>
      </c>
    </row>
    <row r="7" spans="1:6" ht="17">
      <c r="A7" s="250" t="s">
        <v>237</v>
      </c>
      <c r="B7" s="258">
        <v>183520</v>
      </c>
      <c r="C7" s="346"/>
      <c r="D7" s="259">
        <v>3102.62</v>
      </c>
      <c r="E7" s="341"/>
      <c r="F7" s="260">
        <v>275280</v>
      </c>
    </row>
    <row r="8" spans="1:6" ht="17">
      <c r="A8" s="5" t="s">
        <v>238</v>
      </c>
      <c r="B8" s="66">
        <v>183520</v>
      </c>
      <c r="C8" s="347"/>
      <c r="D8" s="67">
        <v>3102.62</v>
      </c>
      <c r="E8" s="342"/>
      <c r="F8" s="68">
        <v>275280</v>
      </c>
    </row>
    <row r="9" spans="1:6" ht="18" customHeight="1">
      <c r="A9" s="355" t="s">
        <v>1114</v>
      </c>
      <c r="B9" s="355"/>
      <c r="C9" s="355"/>
      <c r="D9" s="355"/>
      <c r="E9" s="355"/>
      <c r="F9" s="355"/>
    </row>
  </sheetData>
  <mergeCells count="6">
    <mergeCell ref="A2:F2"/>
    <mergeCell ref="A3:F3"/>
    <mergeCell ref="C6:C8"/>
    <mergeCell ref="E6:E8"/>
    <mergeCell ref="A9:F9"/>
    <mergeCell ref="A4:F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8"/>
  <sheetViews>
    <sheetView showRuler="0" workbookViewId="0">
      <selection activeCell="A2" sqref="A2:E2"/>
    </sheetView>
  </sheetViews>
  <sheetFormatPr baseColWidth="10" defaultColWidth="12.83203125" defaultRowHeight="13"/>
  <cols>
    <col min="1" max="1" width="56.5" customWidth="1"/>
    <col min="2" max="5" width="16" customWidth="1"/>
  </cols>
  <sheetData>
    <row r="1" spans="1:5" ht="14">
      <c r="A1" s="239" t="str">
        <f>HYPERLINK("#'Index'!A1","Back to index")</f>
        <v>Back to index</v>
      </c>
    </row>
    <row r="2" spans="1:5" ht="25" customHeight="1">
      <c r="A2" s="310" t="s">
        <v>49</v>
      </c>
      <c r="B2" s="311"/>
      <c r="C2" s="311"/>
      <c r="D2" s="311"/>
      <c r="E2" s="311"/>
    </row>
    <row r="3" spans="1:5" ht="22.5" customHeight="1">
      <c r="A3" s="312" t="s">
        <v>8</v>
      </c>
      <c r="B3" s="311"/>
      <c r="C3" s="311"/>
      <c r="D3" s="311"/>
      <c r="E3" s="311"/>
    </row>
    <row r="4" spans="1:5">
      <c r="A4" s="323"/>
      <c r="B4" s="323"/>
      <c r="C4" s="323"/>
      <c r="D4" s="323"/>
      <c r="E4" s="323"/>
    </row>
    <row r="5" spans="1:5" ht="17">
      <c r="A5" s="5" t="s">
        <v>239</v>
      </c>
      <c r="B5" s="28" t="s">
        <v>197</v>
      </c>
      <c r="C5" s="28" t="s">
        <v>198</v>
      </c>
      <c r="D5" s="28" t="s">
        <v>199</v>
      </c>
      <c r="E5" s="29" t="s">
        <v>200</v>
      </c>
    </row>
    <row r="6" spans="1:5" ht="17">
      <c r="A6" s="14" t="s">
        <v>240</v>
      </c>
      <c r="B6" s="225" t="s">
        <v>1115</v>
      </c>
      <c r="C6" s="225" t="s">
        <v>1116</v>
      </c>
      <c r="D6" s="225" t="s">
        <v>1117</v>
      </c>
      <c r="E6" s="226" t="s">
        <v>1120</v>
      </c>
    </row>
    <row r="7" spans="1:5" ht="17">
      <c r="A7" s="21" t="s">
        <v>241</v>
      </c>
      <c r="B7" s="227" t="s">
        <v>1109</v>
      </c>
      <c r="C7" s="227" t="s">
        <v>1110</v>
      </c>
      <c r="D7" s="227" t="s">
        <v>1118</v>
      </c>
      <c r="E7" s="228" t="s">
        <v>1119</v>
      </c>
    </row>
    <row r="8" spans="1:5" ht="16">
      <c r="A8" s="332" t="s">
        <v>242</v>
      </c>
      <c r="B8" s="332"/>
      <c r="C8" s="63"/>
      <c r="D8" s="63"/>
      <c r="E8" s="63"/>
    </row>
  </sheetData>
  <mergeCells count="4">
    <mergeCell ref="A2:E2"/>
    <mergeCell ref="A3:E3"/>
    <mergeCell ref="A8:B8"/>
    <mergeCell ref="A4:E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9"/>
  <sheetViews>
    <sheetView showRuler="0" workbookViewId="0">
      <selection activeCell="A2" sqref="A2:D2"/>
    </sheetView>
  </sheetViews>
  <sheetFormatPr baseColWidth="10" defaultColWidth="12.83203125" defaultRowHeight="13"/>
  <cols>
    <col min="1" max="1" width="41.83203125" customWidth="1"/>
    <col min="2" max="4" width="20.1640625" customWidth="1"/>
  </cols>
  <sheetData>
    <row r="1" spans="1:4" ht="14">
      <c r="A1" s="239" t="str">
        <f>HYPERLINK("#'Index'!A1","Back to index")</f>
        <v>Back to index</v>
      </c>
    </row>
    <row r="2" spans="1:4" ht="25" customHeight="1">
      <c r="A2" s="310" t="s">
        <v>49</v>
      </c>
      <c r="B2" s="311"/>
      <c r="C2" s="311"/>
      <c r="D2" s="311"/>
    </row>
    <row r="3" spans="1:4" ht="22.5" customHeight="1">
      <c r="A3" s="312" t="s">
        <v>9</v>
      </c>
      <c r="B3" s="311"/>
      <c r="C3" s="311"/>
      <c r="D3" s="311"/>
    </row>
    <row r="4" spans="1:4">
      <c r="A4" s="323"/>
      <c r="B4" s="323"/>
      <c r="C4" s="323"/>
      <c r="D4" s="323"/>
    </row>
    <row r="5" spans="1:4" ht="34">
      <c r="A5" s="5" t="s">
        <v>216</v>
      </c>
      <c r="B5" s="28" t="s">
        <v>220</v>
      </c>
      <c r="C5" s="29" t="s">
        <v>243</v>
      </c>
      <c r="D5" s="29" t="s">
        <v>244</v>
      </c>
    </row>
    <row r="6" spans="1:4" ht="17">
      <c r="A6" s="63" t="s">
        <v>236</v>
      </c>
      <c r="B6" s="69">
        <v>440000</v>
      </c>
      <c r="C6" s="356">
        <v>1.054</v>
      </c>
      <c r="D6" s="70">
        <v>463833</v>
      </c>
    </row>
    <row r="7" spans="1:4" ht="17">
      <c r="A7" s="250" t="s">
        <v>237</v>
      </c>
      <c r="B7" s="261">
        <v>296000</v>
      </c>
      <c r="C7" s="341"/>
      <c r="D7" s="262">
        <v>312033</v>
      </c>
    </row>
    <row r="8" spans="1:4" ht="17">
      <c r="A8" s="5" t="s">
        <v>238</v>
      </c>
      <c r="B8" s="71">
        <v>296000</v>
      </c>
      <c r="C8" s="342"/>
      <c r="D8" s="72">
        <v>312033</v>
      </c>
    </row>
    <row r="9" spans="1:4" ht="16.75" customHeight="1">
      <c r="A9" s="357" t="s">
        <v>242</v>
      </c>
      <c r="B9" s="357"/>
      <c r="C9" s="357"/>
      <c r="D9" s="357"/>
    </row>
  </sheetData>
  <mergeCells count="5">
    <mergeCell ref="A2:D2"/>
    <mergeCell ref="A3:D3"/>
    <mergeCell ref="C6:C8"/>
    <mergeCell ref="A9:D9"/>
    <mergeCell ref="A4:D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19"/>
  <sheetViews>
    <sheetView showRuler="0" workbookViewId="0">
      <selection activeCell="A2" sqref="A2:M2"/>
    </sheetView>
  </sheetViews>
  <sheetFormatPr baseColWidth="10" defaultColWidth="12.83203125" defaultRowHeight="13"/>
  <cols>
    <col min="1" max="1" width="49.1640625" customWidth="1"/>
    <col min="2" max="13" width="16.83203125" customWidth="1"/>
  </cols>
  <sheetData>
    <row r="1" spans="1:13" ht="14">
      <c r="A1" s="239" t="str">
        <f>HYPERLINK("#'Index'!A1","Back to index")</f>
        <v>Back to index</v>
      </c>
    </row>
    <row r="2" spans="1:13" ht="25" customHeight="1">
      <c r="A2" s="310" t="s">
        <v>49</v>
      </c>
      <c r="B2" s="311"/>
      <c r="C2" s="311"/>
      <c r="D2" s="311"/>
      <c r="E2" s="311"/>
      <c r="F2" s="311"/>
      <c r="G2" s="311"/>
      <c r="H2" s="311"/>
      <c r="I2" s="311"/>
      <c r="J2" s="311"/>
      <c r="K2" s="311"/>
      <c r="L2" s="311"/>
      <c r="M2" s="311"/>
    </row>
    <row r="3" spans="1:13" ht="22.5" customHeight="1">
      <c r="A3" s="312" t="s">
        <v>245</v>
      </c>
      <c r="B3" s="311"/>
      <c r="C3" s="311"/>
      <c r="D3" s="311"/>
      <c r="E3" s="311"/>
      <c r="F3" s="311"/>
      <c r="G3" s="311"/>
      <c r="H3" s="311"/>
      <c r="I3" s="311"/>
      <c r="J3" s="311"/>
      <c r="K3" s="311"/>
      <c r="L3" s="311"/>
      <c r="M3" s="311"/>
    </row>
    <row r="4" spans="1:13" ht="13" customHeight="1">
      <c r="A4" s="323"/>
      <c r="B4" s="323"/>
      <c r="C4" s="323"/>
      <c r="D4" s="323"/>
      <c r="E4" s="323"/>
      <c r="F4" s="323"/>
      <c r="G4" s="323"/>
      <c r="H4" s="323"/>
      <c r="I4" s="323"/>
      <c r="J4" s="323"/>
      <c r="K4" s="323"/>
      <c r="L4" s="323"/>
      <c r="M4" s="323"/>
    </row>
    <row r="5" spans="1:13" ht="72.5" customHeight="1" thickBot="1">
      <c r="A5" s="50"/>
      <c r="B5" s="358" t="s">
        <v>1057</v>
      </c>
      <c r="C5" s="359"/>
      <c r="D5" s="359"/>
      <c r="E5" s="359" t="s">
        <v>1058</v>
      </c>
      <c r="F5" s="359"/>
      <c r="G5" s="359"/>
      <c r="H5" s="358" t="s">
        <v>1059</v>
      </c>
      <c r="I5" s="359"/>
      <c r="J5" s="359"/>
      <c r="K5" s="358" t="s">
        <v>1060</v>
      </c>
      <c r="L5" s="359"/>
      <c r="M5" s="359"/>
    </row>
    <row r="6" spans="1:13" ht="20" thickBot="1">
      <c r="A6" s="49"/>
      <c r="B6" s="360" t="s">
        <v>50</v>
      </c>
      <c r="C6" s="360"/>
      <c r="D6" s="94" t="s">
        <v>246</v>
      </c>
      <c r="E6" s="360" t="s">
        <v>50</v>
      </c>
      <c r="F6" s="360"/>
      <c r="G6" s="94" t="s">
        <v>247</v>
      </c>
      <c r="H6" s="360" t="s">
        <v>50</v>
      </c>
      <c r="I6" s="360"/>
      <c r="J6" s="94" t="s">
        <v>247</v>
      </c>
      <c r="K6" s="360" t="s">
        <v>50</v>
      </c>
      <c r="L6" s="360"/>
      <c r="M6" s="94" t="s">
        <v>246</v>
      </c>
    </row>
    <row r="7" spans="1:13" ht="18" thickBot="1">
      <c r="A7" s="74"/>
      <c r="B7" s="28" t="s">
        <v>248</v>
      </c>
      <c r="C7" s="28" t="s">
        <v>239</v>
      </c>
      <c r="D7" s="28" t="s">
        <v>248</v>
      </c>
      <c r="E7" s="28" t="s">
        <v>248</v>
      </c>
      <c r="F7" s="28" t="s">
        <v>239</v>
      </c>
      <c r="G7" s="28" t="s">
        <v>248</v>
      </c>
      <c r="H7" s="28" t="s">
        <v>248</v>
      </c>
      <c r="I7" s="28" t="s">
        <v>239</v>
      </c>
      <c r="J7" s="28" t="s">
        <v>248</v>
      </c>
      <c r="K7" s="28" t="s">
        <v>248</v>
      </c>
      <c r="L7" s="28" t="s">
        <v>239</v>
      </c>
      <c r="M7" s="28" t="s">
        <v>248</v>
      </c>
    </row>
    <row r="8" spans="1:13" ht="17">
      <c r="A8" s="14" t="s">
        <v>249</v>
      </c>
      <c r="B8" s="53">
        <v>650000</v>
      </c>
      <c r="C8" s="53">
        <v>32</v>
      </c>
      <c r="D8" s="75">
        <v>54167</v>
      </c>
      <c r="E8" s="53">
        <v>525000</v>
      </c>
      <c r="F8" s="53">
        <v>33</v>
      </c>
      <c r="G8" s="76"/>
      <c r="H8" s="53">
        <v>525000</v>
      </c>
      <c r="I8" s="53">
        <v>33</v>
      </c>
      <c r="J8" s="75">
        <v>460000</v>
      </c>
      <c r="K8" s="53">
        <v>460000</v>
      </c>
      <c r="L8" s="53">
        <v>33</v>
      </c>
      <c r="M8" s="75">
        <v>38333</v>
      </c>
    </row>
    <row r="9" spans="1:13" ht="17">
      <c r="A9" s="16" t="s">
        <v>250</v>
      </c>
      <c r="B9" s="55">
        <v>23513</v>
      </c>
      <c r="C9" s="55">
        <v>1</v>
      </c>
      <c r="D9" s="77">
        <v>1050</v>
      </c>
      <c r="E9" s="55">
        <v>23162</v>
      </c>
      <c r="F9" s="55">
        <v>1</v>
      </c>
      <c r="G9" s="78"/>
      <c r="H9" s="55">
        <v>15573</v>
      </c>
      <c r="I9" s="55">
        <v>1</v>
      </c>
      <c r="J9" s="77">
        <v>14946</v>
      </c>
      <c r="K9" s="55">
        <v>384</v>
      </c>
      <c r="L9" s="55">
        <v>0</v>
      </c>
      <c r="M9" s="77">
        <v>0</v>
      </c>
    </row>
    <row r="10" spans="1:13" ht="17">
      <c r="A10" s="16" t="s">
        <v>251</v>
      </c>
      <c r="B10" s="55">
        <v>260000</v>
      </c>
      <c r="C10" s="55">
        <v>13</v>
      </c>
      <c r="D10" s="77">
        <v>21667</v>
      </c>
      <c r="E10" s="55">
        <v>180000</v>
      </c>
      <c r="F10" s="55">
        <v>11</v>
      </c>
      <c r="G10" s="78"/>
      <c r="H10" s="55">
        <v>180000</v>
      </c>
      <c r="I10" s="55">
        <v>11</v>
      </c>
      <c r="J10" s="77">
        <v>180000</v>
      </c>
      <c r="K10" s="55">
        <v>180000</v>
      </c>
      <c r="L10" s="55">
        <v>13</v>
      </c>
      <c r="M10" s="77">
        <v>15000</v>
      </c>
    </row>
    <row r="11" spans="1:13" ht="17">
      <c r="A11" s="79" t="s">
        <v>252</v>
      </c>
      <c r="B11" s="38"/>
      <c r="C11" s="38"/>
      <c r="D11" s="78"/>
      <c r="E11" s="38"/>
      <c r="F11" s="38"/>
      <c r="G11" s="78"/>
      <c r="H11" s="38"/>
      <c r="I11" s="38"/>
      <c r="J11" s="78"/>
      <c r="K11" s="38"/>
      <c r="L11" s="38"/>
      <c r="M11" s="78"/>
    </row>
    <row r="12" spans="1:13" ht="17">
      <c r="A12" s="80" t="s">
        <v>253</v>
      </c>
      <c r="B12" s="61">
        <v>440000</v>
      </c>
      <c r="C12" s="263">
        <v>22</v>
      </c>
      <c r="D12" s="78"/>
      <c r="E12" s="61">
        <v>350000</v>
      </c>
      <c r="F12" s="263">
        <v>22</v>
      </c>
      <c r="G12" s="78"/>
      <c r="H12" s="61">
        <v>350000</v>
      </c>
      <c r="I12" s="263">
        <v>22</v>
      </c>
      <c r="J12" s="78"/>
      <c r="K12" s="61">
        <v>296000</v>
      </c>
      <c r="L12" s="263">
        <v>21</v>
      </c>
      <c r="M12" s="78"/>
    </row>
    <row r="13" spans="1:13" ht="17">
      <c r="A13" s="80" t="s">
        <v>254</v>
      </c>
      <c r="B13" s="38"/>
      <c r="C13" s="38"/>
      <c r="D13" s="77">
        <v>36667</v>
      </c>
      <c r="E13" s="38"/>
      <c r="F13" s="38"/>
      <c r="G13" s="78"/>
      <c r="H13" s="38"/>
      <c r="I13" s="38"/>
      <c r="J13" s="77">
        <v>296000</v>
      </c>
      <c r="K13" s="38"/>
      <c r="L13" s="38"/>
      <c r="M13" s="77">
        <v>24667</v>
      </c>
    </row>
    <row r="14" spans="1:13" ht="17">
      <c r="A14" s="79" t="s">
        <v>255</v>
      </c>
      <c r="B14" s="38"/>
      <c r="C14" s="38"/>
      <c r="D14" s="78"/>
      <c r="E14" s="38"/>
      <c r="F14" s="38"/>
      <c r="G14" s="78"/>
      <c r="H14" s="38"/>
      <c r="I14" s="38"/>
      <c r="J14" s="78"/>
      <c r="K14" s="38"/>
      <c r="L14" s="264"/>
      <c r="M14" s="78"/>
    </row>
    <row r="15" spans="1:13" ht="17">
      <c r="A15" s="80" t="s">
        <v>256</v>
      </c>
      <c r="B15" s="61">
        <v>660000</v>
      </c>
      <c r="C15" s="263">
        <v>32</v>
      </c>
      <c r="D15" s="78"/>
      <c r="E15" s="61">
        <v>525000</v>
      </c>
      <c r="F15" s="263">
        <v>33</v>
      </c>
      <c r="G15" s="78"/>
      <c r="H15" s="61">
        <v>525000</v>
      </c>
      <c r="I15" s="61">
        <v>33</v>
      </c>
      <c r="J15" s="78"/>
      <c r="K15" s="61">
        <v>444000</v>
      </c>
      <c r="L15" s="61">
        <v>32</v>
      </c>
      <c r="M15" s="78"/>
    </row>
    <row r="16" spans="1:13" ht="17">
      <c r="A16" s="80" t="s">
        <v>257</v>
      </c>
      <c r="B16" s="38"/>
      <c r="C16" s="264"/>
      <c r="D16" s="77">
        <v>55000</v>
      </c>
      <c r="E16" s="38"/>
      <c r="F16" s="38"/>
      <c r="G16" s="78"/>
      <c r="H16" s="38"/>
      <c r="I16" s="264"/>
      <c r="J16" s="77">
        <v>444000</v>
      </c>
      <c r="K16" s="38"/>
      <c r="L16" s="264"/>
      <c r="M16" s="77">
        <v>37000</v>
      </c>
    </row>
    <row r="17" spans="1:13" ht="17">
      <c r="A17" s="81" t="s">
        <v>258</v>
      </c>
      <c r="B17" s="144">
        <v>2033513</v>
      </c>
      <c r="C17" s="144">
        <v>100</v>
      </c>
      <c r="D17" s="82">
        <v>168550</v>
      </c>
      <c r="E17" s="144">
        <v>1603162</v>
      </c>
      <c r="F17" s="144">
        <v>100</v>
      </c>
      <c r="G17" s="83"/>
      <c r="H17" s="144">
        <v>1595573</v>
      </c>
      <c r="I17" s="144">
        <v>100</v>
      </c>
      <c r="J17" s="82">
        <v>1394946</v>
      </c>
      <c r="K17" s="144">
        <v>1380384</v>
      </c>
      <c r="L17" s="144">
        <v>100</v>
      </c>
      <c r="M17" s="82">
        <v>115000</v>
      </c>
    </row>
    <row r="18" spans="1:13" ht="49.25" customHeight="1">
      <c r="A18" s="324" t="s">
        <v>259</v>
      </c>
      <c r="B18" s="324"/>
      <c r="C18" s="324"/>
      <c r="D18" s="324"/>
      <c r="E18" s="324"/>
      <c r="F18" s="324"/>
      <c r="G18" s="324"/>
      <c r="H18" s="324"/>
      <c r="I18" s="324"/>
      <c r="J18" s="324"/>
      <c r="K18" s="324"/>
      <c r="L18" s="324"/>
      <c r="M18" s="324"/>
    </row>
    <row r="19" spans="1:13" ht="15" customHeight="1"/>
  </sheetData>
  <mergeCells count="12">
    <mergeCell ref="A18:M18"/>
    <mergeCell ref="A3:M3"/>
    <mergeCell ref="A2:M2"/>
    <mergeCell ref="K5:M5"/>
    <mergeCell ref="K6:L6"/>
    <mergeCell ref="H5:J5"/>
    <mergeCell ref="B6:C6"/>
    <mergeCell ref="B5:D5"/>
    <mergeCell ref="E5:G5"/>
    <mergeCell ref="E6:F6"/>
    <mergeCell ref="H6:I6"/>
    <mergeCell ref="A4:M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21"/>
  <sheetViews>
    <sheetView showRuler="0" workbookViewId="0">
      <selection activeCell="A2" sqref="A2:J2"/>
    </sheetView>
  </sheetViews>
  <sheetFormatPr baseColWidth="10" defaultColWidth="12.83203125" defaultRowHeight="13"/>
  <cols>
    <col min="1" max="1" width="49.1640625" customWidth="1"/>
    <col min="2" max="22" width="16.83203125" customWidth="1"/>
  </cols>
  <sheetData>
    <row r="1" spans="1:22" ht="14">
      <c r="A1" s="239" t="str">
        <f>HYPERLINK("#'Index'!A1","Back to index")</f>
        <v>Back to index</v>
      </c>
    </row>
    <row r="2" spans="1:22" ht="25" customHeight="1">
      <c r="A2" s="310" t="s">
        <v>49</v>
      </c>
      <c r="B2" s="311"/>
      <c r="C2" s="311"/>
      <c r="D2" s="311"/>
      <c r="E2" s="311"/>
      <c r="F2" s="311"/>
      <c r="G2" s="311"/>
      <c r="H2" s="311"/>
      <c r="I2" s="311"/>
      <c r="J2" s="311"/>
    </row>
    <row r="3" spans="1:22" ht="28" customHeight="1">
      <c r="A3" s="335" t="s">
        <v>260</v>
      </c>
      <c r="B3" s="335"/>
      <c r="C3" s="335"/>
      <c r="D3" s="335"/>
      <c r="E3" s="335"/>
      <c r="F3" s="335"/>
      <c r="G3" s="335"/>
      <c r="H3" s="335"/>
      <c r="I3" s="335"/>
      <c r="J3" s="335"/>
      <c r="K3" s="335"/>
      <c r="L3" s="335"/>
      <c r="M3" s="335"/>
      <c r="N3" s="335"/>
      <c r="O3" s="335"/>
      <c r="P3" s="335"/>
      <c r="Q3" s="335"/>
      <c r="R3" s="335"/>
      <c r="S3" s="335"/>
      <c r="T3" s="335"/>
      <c r="U3" s="335"/>
      <c r="V3" s="335"/>
    </row>
    <row r="4" spans="1:22" ht="13" customHeight="1">
      <c r="A4" s="323"/>
      <c r="B4" s="323"/>
      <c r="C4" s="323"/>
      <c r="D4" s="323"/>
      <c r="E4" s="323"/>
      <c r="F4" s="323"/>
      <c r="G4" s="323"/>
      <c r="H4" s="323"/>
      <c r="I4" s="323"/>
      <c r="J4" s="323"/>
      <c r="K4" s="323"/>
      <c r="L4" s="323"/>
      <c r="M4" s="323"/>
      <c r="N4" s="323"/>
      <c r="O4" s="323"/>
      <c r="P4" s="323"/>
      <c r="Q4" s="323"/>
      <c r="R4" s="323"/>
      <c r="S4" s="323"/>
      <c r="T4" s="323"/>
      <c r="U4" s="323"/>
      <c r="V4" s="323"/>
    </row>
    <row r="5" spans="1:22" ht="73.25" customHeight="1">
      <c r="A5" s="84"/>
      <c r="B5" s="359" t="s">
        <v>1061</v>
      </c>
      <c r="C5" s="359"/>
      <c r="D5" s="359"/>
      <c r="E5" s="359" t="s">
        <v>1062</v>
      </c>
      <c r="F5" s="359"/>
      <c r="G5" s="359"/>
      <c r="H5" s="358" t="s">
        <v>1059</v>
      </c>
      <c r="I5" s="359"/>
      <c r="J5" s="359"/>
      <c r="K5" s="359" t="s">
        <v>1063</v>
      </c>
      <c r="L5" s="359"/>
      <c r="M5" s="359"/>
      <c r="N5" s="359" t="s">
        <v>1064</v>
      </c>
      <c r="O5" s="359"/>
      <c r="P5" s="359"/>
      <c r="Q5" s="359" t="s">
        <v>1065</v>
      </c>
      <c r="R5" s="359"/>
      <c r="S5" s="359"/>
      <c r="T5" s="359" t="s">
        <v>1066</v>
      </c>
      <c r="U5" s="359"/>
      <c r="V5" s="359"/>
    </row>
    <row r="6" spans="1:22" ht="19">
      <c r="A6" s="49"/>
      <c r="B6" s="361" t="s">
        <v>50</v>
      </c>
      <c r="C6" s="361"/>
      <c r="D6" s="73" t="s">
        <v>246</v>
      </c>
      <c r="E6" s="361" t="s">
        <v>50</v>
      </c>
      <c r="F6" s="361"/>
      <c r="G6" s="73" t="s">
        <v>247</v>
      </c>
      <c r="H6" s="361" t="s">
        <v>50</v>
      </c>
      <c r="I6" s="361"/>
      <c r="J6" s="73" t="s">
        <v>247</v>
      </c>
      <c r="K6" s="361" t="s">
        <v>50</v>
      </c>
      <c r="L6" s="361"/>
      <c r="M6" s="73" t="s">
        <v>246</v>
      </c>
      <c r="N6" s="361" t="s">
        <v>50</v>
      </c>
      <c r="O6" s="361"/>
      <c r="P6" s="73" t="s">
        <v>247</v>
      </c>
      <c r="Q6" s="361" t="s">
        <v>50</v>
      </c>
      <c r="R6" s="361"/>
      <c r="S6" s="73" t="s">
        <v>246</v>
      </c>
      <c r="T6" s="361" t="s">
        <v>50</v>
      </c>
      <c r="U6" s="361"/>
      <c r="V6" s="73" t="s">
        <v>246</v>
      </c>
    </row>
    <row r="7" spans="1:22" ht="17">
      <c r="A7" s="85"/>
      <c r="B7" s="28" t="s">
        <v>248</v>
      </c>
      <c r="C7" s="28" t="s">
        <v>239</v>
      </c>
      <c r="D7" s="28" t="s">
        <v>248</v>
      </c>
      <c r="E7" s="28" t="s">
        <v>248</v>
      </c>
      <c r="F7" s="28" t="s">
        <v>239</v>
      </c>
      <c r="G7" s="28" t="s">
        <v>248</v>
      </c>
      <c r="H7" s="28" t="s">
        <v>248</v>
      </c>
      <c r="I7" s="28" t="s">
        <v>239</v>
      </c>
      <c r="J7" s="28" t="s">
        <v>248</v>
      </c>
      <c r="K7" s="28" t="s">
        <v>248</v>
      </c>
      <c r="L7" s="28" t="s">
        <v>239</v>
      </c>
      <c r="M7" s="28" t="s">
        <v>248</v>
      </c>
      <c r="N7" s="28" t="s">
        <v>248</v>
      </c>
      <c r="O7" s="28" t="s">
        <v>239</v>
      </c>
      <c r="P7" s="28" t="s">
        <v>248</v>
      </c>
      <c r="Q7" s="28" t="s">
        <v>248</v>
      </c>
      <c r="R7" s="28" t="s">
        <v>239</v>
      </c>
      <c r="S7" s="28" t="s">
        <v>248</v>
      </c>
      <c r="T7" s="28" t="s">
        <v>248</v>
      </c>
      <c r="U7" s="28" t="s">
        <v>239</v>
      </c>
      <c r="V7" s="28" t="s">
        <v>248</v>
      </c>
    </row>
    <row r="8" spans="1:22" ht="17">
      <c r="A8" s="14" t="s">
        <v>249</v>
      </c>
      <c r="B8" s="59">
        <v>650000</v>
      </c>
      <c r="C8" s="229" t="s">
        <v>1055</v>
      </c>
      <c r="D8" s="86">
        <v>54167</v>
      </c>
      <c r="E8" s="59">
        <v>525000</v>
      </c>
      <c r="F8" s="229" t="s">
        <v>1069</v>
      </c>
      <c r="G8" s="76"/>
      <c r="H8" s="59">
        <v>525000</v>
      </c>
      <c r="I8" s="229" t="s">
        <v>1083</v>
      </c>
      <c r="J8" s="86">
        <v>460000</v>
      </c>
      <c r="K8" s="59">
        <v>460000</v>
      </c>
      <c r="L8" s="229" t="s">
        <v>1083</v>
      </c>
      <c r="M8" s="86">
        <v>38333</v>
      </c>
      <c r="N8" s="34"/>
      <c r="O8" s="34"/>
      <c r="P8" s="87">
        <v>650000</v>
      </c>
      <c r="Q8" s="34"/>
      <c r="R8" s="34"/>
      <c r="S8" s="86">
        <v>268333</v>
      </c>
      <c r="T8" s="34"/>
      <c r="U8" s="34"/>
      <c r="V8" s="86">
        <v>345000</v>
      </c>
    </row>
    <row r="9" spans="1:22" ht="17">
      <c r="A9" s="16" t="s">
        <v>250</v>
      </c>
      <c r="B9" s="61">
        <v>23513</v>
      </c>
      <c r="C9" s="231" t="s">
        <v>1121</v>
      </c>
      <c r="D9" s="88">
        <v>1050</v>
      </c>
      <c r="E9" s="61">
        <v>23162</v>
      </c>
      <c r="F9" s="231" t="s">
        <v>1121</v>
      </c>
      <c r="G9" s="78"/>
      <c r="H9" s="61">
        <v>15573</v>
      </c>
      <c r="I9" s="231" t="s">
        <v>1121</v>
      </c>
      <c r="J9" s="88">
        <v>14946</v>
      </c>
      <c r="K9" s="61">
        <v>384</v>
      </c>
      <c r="L9" s="231">
        <v>0</v>
      </c>
      <c r="M9" s="88">
        <v>0</v>
      </c>
      <c r="N9" s="38"/>
      <c r="O9" s="38"/>
      <c r="P9" s="89">
        <v>18377</v>
      </c>
      <c r="Q9" s="38"/>
      <c r="R9" s="38"/>
      <c r="S9" s="88">
        <v>27374</v>
      </c>
      <c r="T9" s="38"/>
      <c r="U9" s="38"/>
      <c r="V9" s="88">
        <v>17265</v>
      </c>
    </row>
    <row r="10" spans="1:22" ht="17">
      <c r="A10" s="16" t="s">
        <v>251</v>
      </c>
      <c r="B10" s="61">
        <v>260000</v>
      </c>
      <c r="C10" s="231" t="s">
        <v>1122</v>
      </c>
      <c r="D10" s="88">
        <v>21667</v>
      </c>
      <c r="E10" s="61">
        <v>180000</v>
      </c>
      <c r="F10" s="231" t="s">
        <v>1053</v>
      </c>
      <c r="G10" s="78"/>
      <c r="H10" s="61">
        <v>180000</v>
      </c>
      <c r="I10" s="231" t="s">
        <v>1091</v>
      </c>
      <c r="J10" s="88">
        <v>180000</v>
      </c>
      <c r="K10" s="61">
        <v>180000</v>
      </c>
      <c r="L10" s="231" t="s">
        <v>1122</v>
      </c>
      <c r="M10" s="88">
        <v>15000</v>
      </c>
      <c r="N10" s="38"/>
      <c r="O10" s="38"/>
      <c r="P10" s="89">
        <v>260000</v>
      </c>
      <c r="Q10" s="38"/>
      <c r="R10" s="38"/>
      <c r="S10" s="88">
        <v>105000</v>
      </c>
      <c r="T10" s="38"/>
      <c r="U10" s="38"/>
      <c r="V10" s="88">
        <v>135000</v>
      </c>
    </row>
    <row r="11" spans="1:22" ht="34">
      <c r="A11" s="16" t="s">
        <v>261</v>
      </c>
      <c r="B11" s="61">
        <v>0</v>
      </c>
      <c r="C11" s="231">
        <v>0</v>
      </c>
      <c r="D11" s="232">
        <v>0</v>
      </c>
      <c r="E11" s="61">
        <v>150000</v>
      </c>
      <c r="F11" s="231" t="s">
        <v>1054</v>
      </c>
      <c r="G11" s="78"/>
      <c r="H11" s="61">
        <v>0</v>
      </c>
      <c r="I11" s="231">
        <v>0</v>
      </c>
      <c r="J11" s="88">
        <v>0</v>
      </c>
      <c r="K11" s="61">
        <v>0</v>
      </c>
      <c r="L11" s="231">
        <v>0</v>
      </c>
      <c r="M11" s="88">
        <v>0</v>
      </c>
      <c r="N11" s="38"/>
      <c r="O11" s="38"/>
      <c r="P11" s="89">
        <v>4110000</v>
      </c>
      <c r="Q11" s="38"/>
      <c r="R11" s="38"/>
      <c r="S11" s="88">
        <v>2840400</v>
      </c>
      <c r="T11" s="38"/>
      <c r="U11" s="38"/>
      <c r="V11" s="88">
        <v>2130300</v>
      </c>
    </row>
    <row r="12" spans="1:22" ht="17">
      <c r="A12" s="79" t="s">
        <v>252</v>
      </c>
      <c r="B12" s="38"/>
      <c r="C12" s="231"/>
      <c r="D12" s="78"/>
      <c r="E12" s="38"/>
      <c r="F12" s="231"/>
      <c r="G12" s="78"/>
      <c r="H12" s="38"/>
      <c r="I12" s="231"/>
      <c r="J12" s="78"/>
      <c r="K12" s="38"/>
      <c r="L12" s="231"/>
      <c r="M12" s="78"/>
      <c r="N12" s="38"/>
      <c r="O12" s="38"/>
      <c r="P12" s="78"/>
      <c r="Q12" s="38"/>
      <c r="R12" s="38"/>
      <c r="S12" s="78"/>
      <c r="T12" s="38"/>
      <c r="U12" s="38"/>
      <c r="V12" s="78"/>
    </row>
    <row r="13" spans="1:22" ht="17">
      <c r="A13" s="80" t="s">
        <v>253</v>
      </c>
      <c r="B13" s="61">
        <v>363090</v>
      </c>
      <c r="C13" s="266" t="s">
        <v>1123</v>
      </c>
      <c r="D13" s="78"/>
      <c r="E13" s="61">
        <v>288822</v>
      </c>
      <c r="F13" s="266" t="s">
        <v>1124</v>
      </c>
      <c r="G13" s="78"/>
      <c r="H13" s="61">
        <v>288822</v>
      </c>
      <c r="I13" s="266" t="s">
        <v>1125</v>
      </c>
      <c r="J13" s="78"/>
      <c r="K13" s="61">
        <v>244261</v>
      </c>
      <c r="L13" s="266" t="s">
        <v>1123</v>
      </c>
      <c r="M13" s="78"/>
      <c r="N13" s="38"/>
      <c r="O13" s="264"/>
      <c r="P13" s="78"/>
      <c r="Q13" s="38"/>
      <c r="R13" s="264"/>
      <c r="S13" s="78"/>
      <c r="T13" s="38"/>
      <c r="U13" s="264"/>
      <c r="V13" s="78"/>
    </row>
    <row r="14" spans="1:22" ht="17">
      <c r="A14" s="80" t="s">
        <v>254</v>
      </c>
      <c r="B14" s="38"/>
      <c r="C14" s="266"/>
      <c r="D14" s="88">
        <v>38984</v>
      </c>
      <c r="E14" s="38"/>
      <c r="F14" s="266"/>
      <c r="G14" s="78"/>
      <c r="H14" s="38"/>
      <c r="I14" s="266"/>
      <c r="J14" s="88">
        <v>314707</v>
      </c>
      <c r="K14" s="38"/>
      <c r="L14" s="266"/>
      <c r="M14" s="88">
        <v>26226</v>
      </c>
      <c r="N14" s="38"/>
      <c r="O14" s="264"/>
      <c r="P14" s="89">
        <v>467808</v>
      </c>
      <c r="Q14" s="38"/>
      <c r="R14" s="264"/>
      <c r="S14" s="88">
        <v>183579</v>
      </c>
      <c r="T14" s="38"/>
      <c r="U14" s="264"/>
      <c r="V14" s="88">
        <v>236030</v>
      </c>
    </row>
    <row r="15" spans="1:22" ht="17">
      <c r="A15" s="79" t="s">
        <v>255</v>
      </c>
      <c r="B15" s="38"/>
      <c r="C15" s="231"/>
      <c r="D15" s="78"/>
      <c r="E15" s="38"/>
      <c r="F15" s="231"/>
      <c r="G15" s="78"/>
      <c r="H15" s="38"/>
      <c r="I15" s="231"/>
      <c r="J15" s="78"/>
      <c r="K15" s="38"/>
      <c r="L15" s="231"/>
      <c r="M15" s="78"/>
      <c r="N15" s="38"/>
      <c r="O15" s="38"/>
      <c r="P15" s="78"/>
      <c r="Q15" s="38"/>
      <c r="R15" s="38"/>
      <c r="S15" s="78"/>
      <c r="T15" s="38"/>
      <c r="U15" s="38"/>
      <c r="V15" s="78"/>
    </row>
    <row r="16" spans="1:22" ht="17">
      <c r="A16" s="80" t="s">
        <v>7</v>
      </c>
      <c r="B16" s="38"/>
      <c r="C16" s="266"/>
      <c r="D16" s="78"/>
      <c r="E16" s="38"/>
      <c r="F16" s="266"/>
      <c r="G16" s="78"/>
      <c r="H16" s="38"/>
      <c r="I16" s="266"/>
      <c r="J16" s="78"/>
      <c r="K16" s="38"/>
      <c r="L16" s="266"/>
      <c r="M16" s="78"/>
      <c r="N16" s="231" t="s">
        <v>1126</v>
      </c>
      <c r="O16" s="266" t="s">
        <v>1128</v>
      </c>
      <c r="P16" s="78"/>
      <c r="Q16" s="61">
        <v>275280</v>
      </c>
      <c r="R16" s="266" t="s">
        <v>1128</v>
      </c>
      <c r="S16" s="78"/>
      <c r="T16" s="265">
        <v>275280</v>
      </c>
      <c r="U16" s="266" t="s">
        <v>1128</v>
      </c>
      <c r="V16" s="78"/>
    </row>
    <row r="17" spans="1:22" ht="17">
      <c r="A17" s="80" t="s">
        <v>262</v>
      </c>
      <c r="B17" s="38"/>
      <c r="C17" s="266"/>
      <c r="D17" s="78"/>
      <c r="E17" s="38"/>
      <c r="F17" s="266"/>
      <c r="G17" s="78"/>
      <c r="H17" s="38"/>
      <c r="I17" s="266"/>
      <c r="J17" s="78"/>
      <c r="K17" s="38"/>
      <c r="L17" s="266"/>
      <c r="M17" s="78"/>
      <c r="N17" s="231"/>
      <c r="O17" s="266"/>
      <c r="P17" s="89">
        <v>228401</v>
      </c>
      <c r="Q17" s="38"/>
      <c r="R17" s="266"/>
      <c r="S17" s="89">
        <v>155312</v>
      </c>
      <c r="T17" s="38"/>
      <c r="U17" s="266"/>
      <c r="V17" s="89">
        <v>155312</v>
      </c>
    </row>
    <row r="18" spans="1:22" ht="17">
      <c r="A18" s="80" t="s">
        <v>263</v>
      </c>
      <c r="B18" s="38"/>
      <c r="C18" s="266"/>
      <c r="D18" s="78"/>
      <c r="E18" s="38"/>
      <c r="F18" s="266"/>
      <c r="G18" s="78"/>
      <c r="H18" s="38"/>
      <c r="I18" s="266"/>
      <c r="J18" s="78"/>
      <c r="K18" s="38"/>
      <c r="L18" s="266"/>
      <c r="M18" s="78"/>
      <c r="N18" s="231" t="s">
        <v>1127</v>
      </c>
      <c r="O18" s="266" t="s">
        <v>1129</v>
      </c>
      <c r="P18" s="78"/>
      <c r="Q18" s="61">
        <v>312033</v>
      </c>
      <c r="R18" s="266" t="s">
        <v>1129</v>
      </c>
      <c r="S18" s="78"/>
      <c r="T18" s="265">
        <v>312033</v>
      </c>
      <c r="U18" s="266" t="s">
        <v>1129</v>
      </c>
      <c r="V18" s="78"/>
    </row>
    <row r="19" spans="1:22" ht="17">
      <c r="A19" s="80" t="s">
        <v>264</v>
      </c>
      <c r="B19" s="38"/>
      <c r="C19" s="266"/>
      <c r="D19" s="78"/>
      <c r="E19" s="38"/>
      <c r="F19" s="266"/>
      <c r="G19" s="78"/>
      <c r="H19" s="38"/>
      <c r="I19" s="266"/>
      <c r="J19" s="78"/>
      <c r="K19" s="38"/>
      <c r="L19" s="266"/>
      <c r="M19" s="78"/>
      <c r="N19" s="38"/>
      <c r="O19" s="266"/>
      <c r="P19" s="89">
        <v>487500</v>
      </c>
      <c r="Q19" s="38"/>
      <c r="R19" s="266"/>
      <c r="S19" s="89">
        <v>331500</v>
      </c>
      <c r="T19" s="38"/>
      <c r="U19" s="266"/>
      <c r="V19" s="89">
        <v>331500</v>
      </c>
    </row>
    <row r="20" spans="1:22" ht="17">
      <c r="A20" s="81" t="s">
        <v>258</v>
      </c>
      <c r="B20" s="104">
        <v>1296603</v>
      </c>
      <c r="C20" s="235" t="s">
        <v>1056</v>
      </c>
      <c r="D20" s="90">
        <v>115867</v>
      </c>
      <c r="E20" s="104">
        <v>1166984</v>
      </c>
      <c r="F20" s="235" t="s">
        <v>1056</v>
      </c>
      <c r="G20" s="83"/>
      <c r="H20" s="104">
        <v>1009395</v>
      </c>
      <c r="I20" s="235" t="s">
        <v>1056</v>
      </c>
      <c r="J20" s="90">
        <v>969653</v>
      </c>
      <c r="K20" s="104">
        <v>884645</v>
      </c>
      <c r="L20" s="235" t="s">
        <v>1056</v>
      </c>
      <c r="M20" s="90">
        <v>79559</v>
      </c>
      <c r="N20" s="104">
        <v>873033</v>
      </c>
      <c r="O20" s="235" t="s">
        <v>1056</v>
      </c>
      <c r="P20" s="91">
        <v>6222085</v>
      </c>
      <c r="Q20" s="104">
        <v>587313</v>
      </c>
      <c r="R20" s="235" t="s">
        <v>1130</v>
      </c>
      <c r="S20" s="90">
        <v>3911499</v>
      </c>
      <c r="T20" s="104">
        <v>587313</v>
      </c>
      <c r="U20" s="235" t="s">
        <v>1056</v>
      </c>
      <c r="V20" s="90">
        <v>3350408</v>
      </c>
    </row>
    <row r="21" spans="1:22" ht="63" customHeight="1">
      <c r="A21" s="324" t="s">
        <v>265</v>
      </c>
      <c r="B21" s="324"/>
      <c r="C21" s="324"/>
      <c r="D21" s="324"/>
      <c r="E21" s="324"/>
      <c r="F21" s="324"/>
      <c r="G21" s="324"/>
      <c r="H21" s="324"/>
      <c r="I21" s="324"/>
      <c r="J21" s="324"/>
      <c r="K21" s="324"/>
      <c r="L21" s="324"/>
      <c r="M21" s="324"/>
      <c r="N21" s="44"/>
      <c r="O21" s="44"/>
      <c r="P21" s="44"/>
      <c r="Q21" s="44"/>
      <c r="R21" s="44"/>
      <c r="S21" s="44"/>
      <c r="T21" s="44"/>
      <c r="U21" s="44"/>
      <c r="V21" s="44"/>
    </row>
  </sheetData>
  <mergeCells count="18">
    <mergeCell ref="A21:M21"/>
    <mergeCell ref="T5:V5"/>
    <mergeCell ref="Q6:R6"/>
    <mergeCell ref="Q5:S5"/>
    <mergeCell ref="T6:U6"/>
    <mergeCell ref="A2:J2"/>
    <mergeCell ref="N6:O6"/>
    <mergeCell ref="N5:P5"/>
    <mergeCell ref="K5:M5"/>
    <mergeCell ref="K6:L6"/>
    <mergeCell ref="H5:J5"/>
    <mergeCell ref="A3:V3"/>
    <mergeCell ref="B6:C6"/>
    <mergeCell ref="B5:D5"/>
    <mergeCell ref="E5:G5"/>
    <mergeCell ref="E6:F6"/>
    <mergeCell ref="H6:I6"/>
    <mergeCell ref="A4:V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9"/>
  <sheetViews>
    <sheetView showRuler="0" workbookViewId="0">
      <selection activeCell="A2" sqref="A2:C2"/>
    </sheetView>
  </sheetViews>
  <sheetFormatPr baseColWidth="10" defaultColWidth="12.83203125" defaultRowHeight="13"/>
  <cols>
    <col min="1" max="1" width="59.5" customWidth="1"/>
    <col min="2" max="3" width="20.1640625" customWidth="1"/>
  </cols>
  <sheetData>
    <row r="1" spans="1:4" ht="14">
      <c r="A1" s="239" t="str">
        <f>HYPERLINK("#'Index'!A1","Back to index")</f>
        <v>Back to index</v>
      </c>
    </row>
    <row r="2" spans="1:4" ht="25" customHeight="1">
      <c r="A2" s="310" t="s">
        <v>49</v>
      </c>
      <c r="B2" s="311"/>
      <c r="C2" s="311"/>
    </row>
    <row r="3" spans="1:4" ht="64.25" customHeight="1">
      <c r="A3" s="362" t="s">
        <v>10</v>
      </c>
      <c r="B3" s="311"/>
      <c r="C3" s="311"/>
      <c r="D3" s="27"/>
    </row>
    <row r="4" spans="1:4">
      <c r="A4" s="323"/>
      <c r="B4" s="323"/>
      <c r="C4" s="323"/>
    </row>
    <row r="5" spans="1:4" ht="16">
      <c r="A5" s="49"/>
      <c r="B5" s="359" t="s">
        <v>266</v>
      </c>
      <c r="C5" s="359"/>
    </row>
    <row r="6" spans="1:4" ht="17">
      <c r="A6" s="5" t="s">
        <v>248</v>
      </c>
      <c r="B6" s="93" t="s">
        <v>50</v>
      </c>
      <c r="C6" s="94" t="s">
        <v>247</v>
      </c>
    </row>
    <row r="7" spans="1:4" ht="17">
      <c r="A7" s="14" t="s">
        <v>267</v>
      </c>
      <c r="B7" s="59">
        <v>93323</v>
      </c>
      <c r="C7" s="86">
        <v>89775</v>
      </c>
    </row>
    <row r="8" spans="1:4" ht="17">
      <c r="A8" s="21" t="s">
        <v>268</v>
      </c>
      <c r="B8" s="62">
        <v>116736</v>
      </c>
      <c r="C8" s="95">
        <v>116736</v>
      </c>
    </row>
    <row r="9" spans="1:4" ht="16">
      <c r="A9" s="363" t="s">
        <v>242</v>
      </c>
      <c r="B9" s="363"/>
      <c r="C9" s="363"/>
    </row>
  </sheetData>
  <mergeCells count="5">
    <mergeCell ref="A2:C2"/>
    <mergeCell ref="A3:C3"/>
    <mergeCell ref="B5:C5"/>
    <mergeCell ref="A9:C9"/>
    <mergeCell ref="A4:C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21"/>
  <sheetViews>
    <sheetView showRuler="0" workbookViewId="0">
      <selection activeCell="A2" sqref="A2:I2"/>
    </sheetView>
  </sheetViews>
  <sheetFormatPr baseColWidth="10" defaultColWidth="12.83203125" defaultRowHeight="13"/>
  <cols>
    <col min="1" max="1" width="56.5" customWidth="1"/>
    <col min="2" max="2" width="29" customWidth="1"/>
    <col min="3" max="8" width="16.83203125" customWidth="1"/>
    <col min="9" max="9" width="23.6640625" customWidth="1"/>
  </cols>
  <sheetData>
    <row r="1" spans="1:10" ht="14">
      <c r="A1" s="239" t="str">
        <f>HYPERLINK("#'Index'!A1","Back to index")</f>
        <v>Back to index</v>
      </c>
    </row>
    <row r="2" spans="1:10" ht="25" customHeight="1">
      <c r="A2" s="310" t="s">
        <v>49</v>
      </c>
      <c r="B2" s="311"/>
      <c r="C2" s="311"/>
      <c r="D2" s="311"/>
      <c r="E2" s="311"/>
      <c r="F2" s="311"/>
      <c r="G2" s="311"/>
      <c r="H2" s="311"/>
      <c r="I2" s="311"/>
    </row>
    <row r="3" spans="1:10" ht="21" customHeight="1">
      <c r="A3" s="312" t="s">
        <v>269</v>
      </c>
      <c r="B3" s="311"/>
      <c r="C3" s="311"/>
      <c r="D3" s="311"/>
      <c r="E3" s="311"/>
      <c r="F3" s="311"/>
      <c r="G3" s="311"/>
      <c r="H3" s="311"/>
      <c r="I3" s="311"/>
      <c r="J3" s="27"/>
    </row>
    <row r="4" spans="1:10">
      <c r="A4" s="323"/>
      <c r="B4" s="323"/>
      <c r="C4" s="323"/>
      <c r="D4" s="323"/>
      <c r="E4" s="323"/>
      <c r="F4" s="323"/>
      <c r="G4" s="323"/>
      <c r="H4" s="323"/>
      <c r="I4" s="323"/>
    </row>
    <row r="5" spans="1:10" ht="33.25" customHeight="1">
      <c r="A5" s="96"/>
      <c r="B5" s="97"/>
      <c r="C5" s="358" t="s">
        <v>179</v>
      </c>
      <c r="D5" s="359"/>
      <c r="E5" s="358" t="s">
        <v>270</v>
      </c>
      <c r="F5" s="359"/>
      <c r="G5" s="358" t="s">
        <v>271</v>
      </c>
      <c r="H5" s="359"/>
      <c r="I5" s="267" t="s">
        <v>258</v>
      </c>
    </row>
    <row r="6" spans="1:10" ht="17">
      <c r="A6" s="99" t="s">
        <v>272</v>
      </c>
      <c r="B6" s="28"/>
      <c r="C6" s="94" t="s">
        <v>248</v>
      </c>
      <c r="D6" s="94" t="s">
        <v>239</v>
      </c>
      <c r="E6" s="94" t="s">
        <v>248</v>
      </c>
      <c r="F6" s="94" t="s">
        <v>239</v>
      </c>
      <c r="G6" s="94" t="s">
        <v>248</v>
      </c>
      <c r="H6" s="94" t="s">
        <v>239</v>
      </c>
      <c r="I6" s="94" t="s">
        <v>248</v>
      </c>
    </row>
    <row r="7" spans="1:10" ht="17">
      <c r="A7" s="33" t="s">
        <v>273</v>
      </c>
      <c r="B7" s="100"/>
      <c r="C7" s="101"/>
      <c r="D7" s="101"/>
      <c r="E7" s="101"/>
      <c r="F7" s="101"/>
      <c r="G7" s="101"/>
      <c r="H7" s="101"/>
      <c r="I7" s="101"/>
    </row>
    <row r="8" spans="1:10" ht="34">
      <c r="A8" s="16" t="s">
        <v>274</v>
      </c>
      <c r="B8" s="16" t="s">
        <v>275</v>
      </c>
      <c r="C8" s="61">
        <v>225000</v>
      </c>
      <c r="D8" s="231" t="s">
        <v>1131</v>
      </c>
      <c r="E8" s="61">
        <v>45000</v>
      </c>
      <c r="F8" s="231" t="s">
        <v>1137</v>
      </c>
      <c r="G8" s="61">
        <v>13000</v>
      </c>
      <c r="H8" s="231" t="s">
        <v>1142</v>
      </c>
      <c r="I8" s="102">
        <v>283000</v>
      </c>
    </row>
    <row r="9" spans="1:10" ht="17">
      <c r="A9" s="16" t="s">
        <v>62</v>
      </c>
      <c r="B9" s="16" t="s">
        <v>276</v>
      </c>
      <c r="C9" s="61">
        <v>75000</v>
      </c>
      <c r="D9" s="231" t="s">
        <v>1132</v>
      </c>
      <c r="E9" s="61">
        <v>30000</v>
      </c>
      <c r="F9" s="231" t="s">
        <v>1138</v>
      </c>
      <c r="G9" s="61">
        <v>11000</v>
      </c>
      <c r="H9" s="231" t="s">
        <v>1082</v>
      </c>
      <c r="I9" s="102">
        <v>116000</v>
      </c>
    </row>
    <row r="10" spans="1:10" ht="17">
      <c r="A10" s="16" t="s">
        <v>64</v>
      </c>
      <c r="B10" s="16" t="s">
        <v>277</v>
      </c>
      <c r="C10" s="61">
        <v>75000</v>
      </c>
      <c r="D10" s="231" t="s">
        <v>1133</v>
      </c>
      <c r="E10" s="61">
        <v>25000</v>
      </c>
      <c r="F10" s="231" t="s">
        <v>1139</v>
      </c>
      <c r="G10" s="61">
        <v>11000</v>
      </c>
      <c r="H10" s="231" t="s">
        <v>1143</v>
      </c>
      <c r="I10" s="102">
        <v>111000</v>
      </c>
    </row>
    <row r="11" spans="1:10" ht="17">
      <c r="A11" s="16" t="s">
        <v>66</v>
      </c>
      <c r="B11" s="16" t="s">
        <v>276</v>
      </c>
      <c r="C11" s="61">
        <v>75000</v>
      </c>
      <c r="D11" s="231" t="s">
        <v>1134</v>
      </c>
      <c r="E11" s="61">
        <v>37500</v>
      </c>
      <c r="F11" s="231" t="s">
        <v>1075</v>
      </c>
      <c r="G11" s="61">
        <v>9000</v>
      </c>
      <c r="H11" s="231" t="s">
        <v>1144</v>
      </c>
      <c r="I11" s="102">
        <v>121500</v>
      </c>
    </row>
    <row r="12" spans="1:10" ht="17">
      <c r="A12" s="16" t="s">
        <v>67</v>
      </c>
      <c r="B12" s="16" t="s">
        <v>275</v>
      </c>
      <c r="C12" s="61">
        <v>75000</v>
      </c>
      <c r="D12" s="231" t="s">
        <v>1077</v>
      </c>
      <c r="E12" s="61">
        <v>45000</v>
      </c>
      <c r="F12" s="231" t="s">
        <v>1074</v>
      </c>
      <c r="G12" s="61">
        <v>15000</v>
      </c>
      <c r="H12" s="231" t="s">
        <v>1070</v>
      </c>
      <c r="I12" s="102">
        <v>135000</v>
      </c>
    </row>
    <row r="13" spans="1:10" ht="17">
      <c r="A13" s="16" t="s">
        <v>70</v>
      </c>
      <c r="B13" s="16" t="s">
        <v>278</v>
      </c>
      <c r="C13" s="61">
        <v>75000</v>
      </c>
      <c r="D13" s="231" t="s">
        <v>1135</v>
      </c>
      <c r="E13" s="61">
        <v>25000</v>
      </c>
      <c r="F13" s="231" t="s">
        <v>1078</v>
      </c>
      <c r="G13" s="61">
        <v>14000</v>
      </c>
      <c r="H13" s="231" t="s">
        <v>1052</v>
      </c>
      <c r="I13" s="102">
        <v>114000</v>
      </c>
    </row>
    <row r="14" spans="1:10" ht="17">
      <c r="A14" s="79" t="s">
        <v>279</v>
      </c>
      <c r="B14" s="103"/>
      <c r="C14" s="43"/>
      <c r="D14" s="233"/>
      <c r="E14" s="43"/>
      <c r="F14" s="233"/>
      <c r="G14" s="43"/>
      <c r="H14" s="233"/>
      <c r="I14" s="43"/>
    </row>
    <row r="15" spans="1:10" ht="34">
      <c r="A15" s="16" t="s">
        <v>280</v>
      </c>
      <c r="B15" s="16" t="s">
        <v>281</v>
      </c>
      <c r="C15" s="61">
        <v>150000</v>
      </c>
      <c r="D15" s="231" t="s">
        <v>1093</v>
      </c>
      <c r="E15" s="61">
        <v>25000</v>
      </c>
      <c r="F15" s="231" t="s">
        <v>1081</v>
      </c>
      <c r="G15" s="61">
        <v>10000</v>
      </c>
      <c r="H15" s="231" t="s">
        <v>1142</v>
      </c>
      <c r="I15" s="102">
        <v>185000</v>
      </c>
    </row>
    <row r="16" spans="1:10" ht="17">
      <c r="A16" s="16" t="s">
        <v>61</v>
      </c>
      <c r="B16" s="16" t="s">
        <v>282</v>
      </c>
      <c r="C16" s="61">
        <v>75000</v>
      </c>
      <c r="D16" s="231" t="s">
        <v>1135</v>
      </c>
      <c r="E16" s="61">
        <v>25000</v>
      </c>
      <c r="F16" s="231" t="s">
        <v>1078</v>
      </c>
      <c r="G16" s="61">
        <v>14000</v>
      </c>
      <c r="H16" s="231" t="s">
        <v>1052</v>
      </c>
      <c r="I16" s="102">
        <v>114000</v>
      </c>
    </row>
    <row r="17" spans="1:9" ht="17">
      <c r="A17" s="16" t="s">
        <v>63</v>
      </c>
      <c r="B17" s="16" t="s">
        <v>282</v>
      </c>
      <c r="C17" s="61">
        <v>75000</v>
      </c>
      <c r="D17" s="231" t="s">
        <v>1133</v>
      </c>
      <c r="E17" s="61">
        <v>22500</v>
      </c>
      <c r="F17" s="231" t="s">
        <v>1122</v>
      </c>
      <c r="G17" s="61">
        <v>13000</v>
      </c>
      <c r="H17" s="231" t="s">
        <v>1052</v>
      </c>
      <c r="I17" s="102">
        <v>110500</v>
      </c>
    </row>
    <row r="18" spans="1:9" ht="17">
      <c r="A18" s="16" t="s">
        <v>68</v>
      </c>
      <c r="B18" s="16" t="s">
        <v>275</v>
      </c>
      <c r="C18" s="61">
        <v>75000</v>
      </c>
      <c r="D18" s="231" t="s">
        <v>1136</v>
      </c>
      <c r="E18" s="61">
        <v>22500</v>
      </c>
      <c r="F18" s="231" t="s">
        <v>1140</v>
      </c>
      <c r="G18" s="61">
        <v>11000</v>
      </c>
      <c r="H18" s="231" t="s">
        <v>1143</v>
      </c>
      <c r="I18" s="102">
        <v>108500</v>
      </c>
    </row>
    <row r="19" spans="1:9" ht="17">
      <c r="A19" s="16" t="s">
        <v>69</v>
      </c>
      <c r="B19" s="16" t="s">
        <v>276</v>
      </c>
      <c r="C19" s="61">
        <v>75000</v>
      </c>
      <c r="D19" s="231" t="s">
        <v>1093</v>
      </c>
      <c r="E19" s="61">
        <v>7500</v>
      </c>
      <c r="F19" s="231" t="s">
        <v>1141</v>
      </c>
      <c r="G19" s="61">
        <v>10000</v>
      </c>
      <c r="H19" s="231" t="s">
        <v>1070</v>
      </c>
      <c r="I19" s="102">
        <v>92500</v>
      </c>
    </row>
    <row r="20" spans="1:9" ht="17">
      <c r="A20" s="21" t="s">
        <v>71</v>
      </c>
      <c r="B20" s="21" t="s">
        <v>275</v>
      </c>
      <c r="C20" s="62">
        <v>75000</v>
      </c>
      <c r="D20" s="254" t="s">
        <v>1133</v>
      </c>
      <c r="E20" s="62">
        <v>22500</v>
      </c>
      <c r="F20" s="254" t="s">
        <v>1122</v>
      </c>
      <c r="G20" s="62">
        <v>13000</v>
      </c>
      <c r="H20" s="254" t="s">
        <v>1052</v>
      </c>
      <c r="I20" s="104">
        <v>110500</v>
      </c>
    </row>
    <row r="21" spans="1:9" ht="15.75" customHeight="1">
      <c r="A21" s="355" t="s">
        <v>283</v>
      </c>
      <c r="B21" s="355"/>
      <c r="C21" s="355"/>
      <c r="D21" s="355"/>
      <c r="E21" s="355"/>
      <c r="F21" s="355"/>
      <c r="G21" s="355"/>
      <c r="H21" s="355"/>
      <c r="I21" s="355"/>
    </row>
  </sheetData>
  <mergeCells count="7">
    <mergeCell ref="A2:I2"/>
    <mergeCell ref="A21:I21"/>
    <mergeCell ref="C5:D5"/>
    <mergeCell ref="E5:F5"/>
    <mergeCell ref="G5:H5"/>
    <mergeCell ref="A3:I3"/>
    <mergeCell ref="A4:I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1"/>
  <sheetViews>
    <sheetView showRuler="0" workbookViewId="0">
      <selection activeCell="A2" sqref="A2:I2"/>
    </sheetView>
  </sheetViews>
  <sheetFormatPr baseColWidth="10" defaultColWidth="12.83203125" defaultRowHeight="13"/>
  <cols>
    <col min="1" max="1" width="56.5" customWidth="1"/>
    <col min="2" max="2" width="29.1640625" customWidth="1"/>
    <col min="3" max="8" width="16.83203125" customWidth="1"/>
    <col min="9" max="9" width="24.33203125" customWidth="1"/>
  </cols>
  <sheetData>
    <row r="1" spans="1:10" ht="14">
      <c r="A1" s="239" t="str">
        <f>HYPERLINK("#'Index'!A1","Back to index")</f>
        <v>Back to index</v>
      </c>
    </row>
    <row r="2" spans="1:10" ht="25" customHeight="1">
      <c r="A2" s="310" t="s">
        <v>49</v>
      </c>
      <c r="B2" s="311"/>
      <c r="C2" s="311"/>
      <c r="D2" s="311"/>
      <c r="E2" s="311"/>
      <c r="F2" s="311"/>
      <c r="G2" s="311"/>
      <c r="H2" s="311"/>
      <c r="I2" s="311"/>
    </row>
    <row r="3" spans="1:10" ht="18" customHeight="1">
      <c r="A3" s="312" t="s">
        <v>284</v>
      </c>
      <c r="B3" s="311"/>
      <c r="C3" s="311"/>
      <c r="D3" s="311"/>
      <c r="E3" s="311"/>
      <c r="F3" s="311"/>
      <c r="G3" s="311"/>
      <c r="H3" s="311"/>
      <c r="I3" s="311"/>
      <c r="J3" s="27"/>
    </row>
    <row r="4" spans="1:10">
      <c r="A4" s="323"/>
      <c r="B4" s="323"/>
      <c r="C4" s="323"/>
      <c r="D4" s="323"/>
      <c r="E4" s="323"/>
      <c r="F4" s="323"/>
      <c r="G4" s="323"/>
      <c r="H4" s="323"/>
      <c r="I4" s="323"/>
    </row>
    <row r="5" spans="1:10" ht="33.25" customHeight="1">
      <c r="A5" s="96"/>
      <c r="B5" s="97"/>
      <c r="C5" s="358" t="s">
        <v>179</v>
      </c>
      <c r="D5" s="359"/>
      <c r="E5" s="358" t="s">
        <v>270</v>
      </c>
      <c r="F5" s="359"/>
      <c r="G5" s="358" t="s">
        <v>271</v>
      </c>
      <c r="H5" s="359"/>
      <c r="I5" s="92" t="s">
        <v>258</v>
      </c>
    </row>
    <row r="6" spans="1:10" ht="17">
      <c r="A6" s="99" t="s">
        <v>285</v>
      </c>
      <c r="B6" s="28"/>
      <c r="C6" s="94" t="s">
        <v>248</v>
      </c>
      <c r="D6" s="94" t="s">
        <v>239</v>
      </c>
      <c r="E6" s="94" t="s">
        <v>248</v>
      </c>
      <c r="F6" s="94" t="s">
        <v>239</v>
      </c>
      <c r="G6" s="94" t="s">
        <v>248</v>
      </c>
      <c r="H6" s="94" t="s">
        <v>239</v>
      </c>
      <c r="I6" s="94" t="s">
        <v>248</v>
      </c>
    </row>
    <row r="7" spans="1:10" ht="17">
      <c r="A7" s="33" t="s">
        <v>273</v>
      </c>
      <c r="B7" s="105"/>
      <c r="C7" s="105"/>
      <c r="D7" s="105"/>
      <c r="E7" s="105"/>
      <c r="F7" s="105"/>
      <c r="G7" s="105"/>
      <c r="H7" s="105"/>
      <c r="I7" s="105"/>
    </row>
    <row r="8" spans="1:10" ht="34">
      <c r="A8" s="16" t="s">
        <v>274</v>
      </c>
      <c r="B8" s="16" t="s">
        <v>275</v>
      </c>
      <c r="C8" s="88">
        <v>225000</v>
      </c>
      <c r="D8" s="232" t="s">
        <v>1145</v>
      </c>
      <c r="E8" s="88">
        <v>50000</v>
      </c>
      <c r="F8" s="232" t="s">
        <v>1137</v>
      </c>
      <c r="G8" s="88">
        <v>35000</v>
      </c>
      <c r="H8" s="232" t="s">
        <v>1070</v>
      </c>
      <c r="I8" s="106">
        <v>310000</v>
      </c>
    </row>
    <row r="9" spans="1:10" ht="17">
      <c r="A9" s="16" t="s">
        <v>62</v>
      </c>
      <c r="B9" s="16" t="s">
        <v>276</v>
      </c>
      <c r="C9" s="88">
        <v>75000</v>
      </c>
      <c r="D9" s="232" t="s">
        <v>1134</v>
      </c>
      <c r="E9" s="88">
        <v>30000</v>
      </c>
      <c r="F9" s="232" t="s">
        <v>1124</v>
      </c>
      <c r="G9" s="88">
        <v>16000</v>
      </c>
      <c r="H9" s="232" t="s">
        <v>1054</v>
      </c>
      <c r="I9" s="106">
        <v>121000</v>
      </c>
    </row>
    <row r="10" spans="1:10" ht="17">
      <c r="A10" s="16" t="s">
        <v>64</v>
      </c>
      <c r="B10" s="16" t="s">
        <v>277</v>
      </c>
      <c r="C10" s="88">
        <v>75000</v>
      </c>
      <c r="D10" s="232" t="s">
        <v>1146</v>
      </c>
      <c r="E10" s="88">
        <v>45164</v>
      </c>
      <c r="F10" s="232" t="s">
        <v>1150</v>
      </c>
      <c r="G10" s="88">
        <v>32000</v>
      </c>
      <c r="H10" s="232" t="s">
        <v>1140</v>
      </c>
      <c r="I10" s="106">
        <v>152164</v>
      </c>
    </row>
    <row r="11" spans="1:10" ht="19">
      <c r="A11" s="16" t="s">
        <v>286</v>
      </c>
      <c r="B11" s="16" t="s">
        <v>276</v>
      </c>
      <c r="C11" s="88">
        <v>31148</v>
      </c>
      <c r="D11" s="232" t="s">
        <v>1147</v>
      </c>
      <c r="E11" s="88">
        <v>15574</v>
      </c>
      <c r="F11" s="232" t="s">
        <v>1150</v>
      </c>
      <c r="G11" s="88">
        <v>5000</v>
      </c>
      <c r="H11" s="232" t="s">
        <v>1143</v>
      </c>
      <c r="I11" s="106">
        <v>51722</v>
      </c>
    </row>
    <row r="12" spans="1:10" ht="17">
      <c r="A12" s="16" t="s">
        <v>67</v>
      </c>
      <c r="B12" s="16" t="s">
        <v>275</v>
      </c>
      <c r="C12" s="88">
        <v>75000</v>
      </c>
      <c r="D12" s="232" t="s">
        <v>1055</v>
      </c>
      <c r="E12" s="88">
        <v>50000</v>
      </c>
      <c r="F12" s="232" t="s">
        <v>1074</v>
      </c>
      <c r="G12" s="88">
        <v>25000</v>
      </c>
      <c r="H12" s="232" t="s">
        <v>1080</v>
      </c>
      <c r="I12" s="106">
        <v>150000</v>
      </c>
    </row>
    <row r="13" spans="1:10" ht="17">
      <c r="A13" s="16" t="s">
        <v>70</v>
      </c>
      <c r="B13" s="16" t="s">
        <v>278</v>
      </c>
      <c r="C13" s="88">
        <v>75000</v>
      </c>
      <c r="D13" s="232" t="s">
        <v>1134</v>
      </c>
      <c r="E13" s="88">
        <v>25000</v>
      </c>
      <c r="F13" s="232" t="s">
        <v>1140</v>
      </c>
      <c r="G13" s="88">
        <v>21000</v>
      </c>
      <c r="H13" s="232" t="s">
        <v>1080</v>
      </c>
      <c r="I13" s="106">
        <v>121000</v>
      </c>
    </row>
    <row r="14" spans="1:10" ht="17">
      <c r="A14" s="79" t="s">
        <v>279</v>
      </c>
      <c r="B14" s="16"/>
      <c r="C14" s="78"/>
      <c r="D14" s="232"/>
      <c r="E14" s="78"/>
      <c r="F14" s="232"/>
      <c r="G14" s="78"/>
      <c r="H14" s="232"/>
      <c r="I14" s="107"/>
    </row>
    <row r="15" spans="1:10" ht="34">
      <c r="A15" s="16" t="s">
        <v>280</v>
      </c>
      <c r="B15" s="16" t="s">
        <v>281</v>
      </c>
      <c r="C15" s="88">
        <v>150000</v>
      </c>
      <c r="D15" s="232" t="s">
        <v>1148</v>
      </c>
      <c r="E15" s="88">
        <v>25000</v>
      </c>
      <c r="F15" s="232" t="s">
        <v>1052</v>
      </c>
      <c r="G15" s="88">
        <v>34000</v>
      </c>
      <c r="H15" s="232" t="s">
        <v>1137</v>
      </c>
      <c r="I15" s="106">
        <v>209000</v>
      </c>
    </row>
    <row r="16" spans="1:10" ht="17">
      <c r="A16" s="16" t="s">
        <v>61</v>
      </c>
      <c r="B16" s="16" t="s">
        <v>282</v>
      </c>
      <c r="C16" s="88">
        <v>75000</v>
      </c>
      <c r="D16" s="232" t="s">
        <v>1134</v>
      </c>
      <c r="E16" s="88">
        <v>25000</v>
      </c>
      <c r="F16" s="232" t="s">
        <v>1140</v>
      </c>
      <c r="G16" s="88">
        <v>21000</v>
      </c>
      <c r="H16" s="232" t="s">
        <v>1080</v>
      </c>
      <c r="I16" s="106">
        <v>121000</v>
      </c>
    </row>
    <row r="17" spans="1:9" ht="17">
      <c r="A17" s="16" t="s">
        <v>63</v>
      </c>
      <c r="B17" s="16" t="s">
        <v>282</v>
      </c>
      <c r="C17" s="88">
        <v>75000</v>
      </c>
      <c r="D17" s="232" t="s">
        <v>1132</v>
      </c>
      <c r="E17" s="88">
        <v>22500</v>
      </c>
      <c r="F17" s="232" t="s">
        <v>1122</v>
      </c>
      <c r="G17" s="88">
        <v>18000</v>
      </c>
      <c r="H17" s="232" t="s">
        <v>1137</v>
      </c>
      <c r="I17" s="106">
        <v>115500</v>
      </c>
    </row>
    <row r="18" spans="1:9" ht="17">
      <c r="A18" s="16" t="s">
        <v>68</v>
      </c>
      <c r="B18" s="16" t="s">
        <v>275</v>
      </c>
      <c r="C18" s="88">
        <v>75000</v>
      </c>
      <c r="D18" s="232" t="s">
        <v>1077</v>
      </c>
      <c r="E18" s="88">
        <v>25000</v>
      </c>
      <c r="F18" s="232" t="s">
        <v>1092</v>
      </c>
      <c r="G18" s="88">
        <v>33000</v>
      </c>
      <c r="H18" s="232" t="s">
        <v>1124</v>
      </c>
      <c r="I18" s="106">
        <v>133000</v>
      </c>
    </row>
    <row r="19" spans="1:9" ht="17">
      <c r="A19" s="16" t="s">
        <v>69</v>
      </c>
      <c r="B19" s="16" t="s">
        <v>276</v>
      </c>
      <c r="C19" s="88">
        <v>75000</v>
      </c>
      <c r="D19" s="232" t="s">
        <v>1149</v>
      </c>
      <c r="E19" s="88">
        <v>7500</v>
      </c>
      <c r="F19" s="232" t="s">
        <v>1141</v>
      </c>
      <c r="G19" s="88">
        <v>13000</v>
      </c>
      <c r="H19" s="232" t="s">
        <v>1081</v>
      </c>
      <c r="I19" s="106">
        <v>95500</v>
      </c>
    </row>
    <row r="20" spans="1:9" ht="17">
      <c r="A20" s="21" t="s">
        <v>71</v>
      </c>
      <c r="B20" s="21" t="s">
        <v>275</v>
      </c>
      <c r="C20" s="95">
        <v>75000</v>
      </c>
      <c r="D20" s="253" t="s">
        <v>1132</v>
      </c>
      <c r="E20" s="95">
        <v>22500</v>
      </c>
      <c r="F20" s="253" t="s">
        <v>1122</v>
      </c>
      <c r="G20" s="95">
        <v>18000</v>
      </c>
      <c r="H20" s="253" t="s">
        <v>1137</v>
      </c>
      <c r="I20" s="90">
        <v>115500</v>
      </c>
    </row>
    <row r="21" spans="1:9" ht="35" customHeight="1">
      <c r="A21" s="355" t="s">
        <v>287</v>
      </c>
      <c r="B21" s="355"/>
      <c r="C21" s="355"/>
      <c r="D21" s="355"/>
      <c r="E21" s="355"/>
      <c r="F21" s="355"/>
      <c r="G21" s="355"/>
      <c r="H21" s="355"/>
      <c r="I21" s="355"/>
    </row>
  </sheetData>
  <mergeCells count="7">
    <mergeCell ref="A2:I2"/>
    <mergeCell ref="A21:I21"/>
    <mergeCell ref="C5:D5"/>
    <mergeCell ref="E5:F5"/>
    <mergeCell ref="G5:H5"/>
    <mergeCell ref="A3:I3"/>
    <mergeCell ref="A4:I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48"/>
  <sheetViews>
    <sheetView showRuler="0" workbookViewId="0">
      <selection activeCell="A2" sqref="A2:F2"/>
    </sheetView>
  </sheetViews>
  <sheetFormatPr baseColWidth="10" defaultColWidth="12.83203125" defaultRowHeight="13"/>
  <cols>
    <col min="1" max="1" width="79.33203125" customWidth="1"/>
    <col min="2" max="5" width="22.33203125" customWidth="1"/>
    <col min="6" max="6" width="23.6640625" customWidth="1"/>
  </cols>
  <sheetData>
    <row r="1" spans="1:6" ht="15.75" customHeight="1">
      <c r="A1" s="239" t="str">
        <f>HYPERLINK("#'Index'!A1","Back to index")</f>
        <v>Back to index</v>
      </c>
    </row>
    <row r="2" spans="1:6" ht="25" customHeight="1">
      <c r="A2" s="310" t="s">
        <v>49</v>
      </c>
      <c r="B2" s="310"/>
      <c r="C2" s="310"/>
      <c r="D2" s="310"/>
      <c r="E2" s="310"/>
      <c r="F2" s="310"/>
    </row>
    <row r="3" spans="1:6" ht="22.5" customHeight="1">
      <c r="A3" s="364" t="s">
        <v>11</v>
      </c>
      <c r="B3" s="311"/>
      <c r="C3" s="311"/>
      <c r="D3" s="311"/>
      <c r="E3" s="311"/>
      <c r="F3" s="27"/>
    </row>
    <row r="4" spans="1:6" ht="15" customHeight="1">
      <c r="A4" s="323"/>
      <c r="B4" s="323"/>
      <c r="C4" s="323"/>
      <c r="D4" s="323"/>
      <c r="E4" s="323"/>
      <c r="F4" s="323"/>
    </row>
    <row r="5" spans="1:6" ht="49.25" customHeight="1">
      <c r="A5" s="28"/>
      <c r="B5" s="29" t="s">
        <v>288</v>
      </c>
      <c r="C5" s="28" t="s">
        <v>289</v>
      </c>
      <c r="D5" s="28" t="s">
        <v>290</v>
      </c>
      <c r="E5" s="28" t="s">
        <v>291</v>
      </c>
      <c r="F5" s="28" t="s">
        <v>292</v>
      </c>
    </row>
    <row r="6" spans="1:6" ht="15" customHeight="1">
      <c r="A6" s="33" t="s">
        <v>293</v>
      </c>
      <c r="B6" s="34"/>
      <c r="C6" s="76"/>
      <c r="D6" s="76"/>
      <c r="E6" s="76"/>
      <c r="F6" s="76"/>
    </row>
    <row r="7" spans="1:6" ht="15" customHeight="1">
      <c r="A7" s="16" t="s">
        <v>294</v>
      </c>
      <c r="B7" s="61">
        <v>161</v>
      </c>
      <c r="C7" s="108">
        <v>17</v>
      </c>
      <c r="D7" s="108">
        <v>-2</v>
      </c>
      <c r="E7" s="108">
        <v>12</v>
      </c>
      <c r="F7" s="108">
        <v>-46</v>
      </c>
    </row>
    <row r="8" spans="1:6" ht="15" customHeight="1">
      <c r="A8" s="16" t="s">
        <v>295</v>
      </c>
      <c r="B8" s="61">
        <v>355</v>
      </c>
      <c r="C8" s="108">
        <v>-14</v>
      </c>
      <c r="D8" s="108">
        <v>18</v>
      </c>
      <c r="E8" s="108">
        <v>-35</v>
      </c>
      <c r="F8" s="108">
        <v>54</v>
      </c>
    </row>
    <row r="9" spans="1:6" ht="15" customHeight="1">
      <c r="A9" s="79" t="s">
        <v>296</v>
      </c>
      <c r="B9" s="38"/>
      <c r="C9" s="78"/>
      <c r="D9" s="78"/>
      <c r="E9" s="78"/>
      <c r="F9" s="78"/>
    </row>
    <row r="10" spans="1:6" ht="15" customHeight="1">
      <c r="A10" s="16" t="s">
        <v>297</v>
      </c>
      <c r="B10" s="61">
        <v>86328</v>
      </c>
      <c r="C10" s="108">
        <v>3</v>
      </c>
      <c r="D10" s="108">
        <v>-1</v>
      </c>
      <c r="E10" s="108">
        <v>4</v>
      </c>
      <c r="F10" s="108">
        <v>4</v>
      </c>
    </row>
    <row r="11" spans="1:6" ht="15" customHeight="1">
      <c r="A11" s="79" t="s">
        <v>298</v>
      </c>
      <c r="B11" s="38"/>
      <c r="C11" s="78"/>
      <c r="D11" s="78"/>
      <c r="E11" s="78"/>
      <c r="F11" s="78"/>
    </row>
    <row r="12" spans="1:6" ht="15" customHeight="1">
      <c r="A12" s="80" t="s">
        <v>299</v>
      </c>
      <c r="B12" s="38"/>
      <c r="C12" s="78"/>
      <c r="D12" s="78"/>
      <c r="E12" s="78"/>
      <c r="F12" s="78"/>
    </row>
    <row r="13" spans="1:6" ht="15" customHeight="1">
      <c r="A13" s="80" t="s">
        <v>300</v>
      </c>
      <c r="B13" s="61">
        <v>1296603</v>
      </c>
      <c r="C13" s="232" t="s">
        <v>1151</v>
      </c>
      <c r="D13" s="108">
        <v>0</v>
      </c>
      <c r="E13" s="108">
        <v>0</v>
      </c>
      <c r="F13" s="108">
        <v>0</v>
      </c>
    </row>
    <row r="14" spans="1:6" ht="33" customHeight="1">
      <c r="A14" s="80" t="s">
        <v>301</v>
      </c>
      <c r="B14" s="61">
        <v>1166984</v>
      </c>
      <c r="C14" s="108">
        <v>0</v>
      </c>
      <c r="D14" s="108">
        <v>0</v>
      </c>
      <c r="E14" s="108">
        <v>0</v>
      </c>
      <c r="F14" s="108">
        <v>0</v>
      </c>
    </row>
    <row r="15" spans="1:6" ht="35" customHeight="1">
      <c r="A15" s="80" t="s">
        <v>302</v>
      </c>
      <c r="B15" s="61">
        <v>1009395</v>
      </c>
      <c r="C15" s="108">
        <v>4</v>
      </c>
      <c r="D15" s="108">
        <v>60</v>
      </c>
      <c r="E15" s="108">
        <v>0</v>
      </c>
      <c r="F15" s="108">
        <v>0</v>
      </c>
    </row>
    <row r="16" spans="1:6" ht="36.75" customHeight="1">
      <c r="A16" s="80" t="s">
        <v>303</v>
      </c>
      <c r="B16" s="61">
        <v>884645</v>
      </c>
      <c r="C16" s="232" t="s">
        <v>1152</v>
      </c>
      <c r="D16" s="108">
        <v>0</v>
      </c>
      <c r="E16" s="108">
        <v>0</v>
      </c>
      <c r="F16" s="108">
        <v>0</v>
      </c>
    </row>
    <row r="17" spans="1:6" ht="15" customHeight="1">
      <c r="A17" s="79" t="s">
        <v>304</v>
      </c>
      <c r="B17" s="38"/>
      <c r="C17" s="78"/>
      <c r="D17" s="78"/>
      <c r="E17" s="78"/>
      <c r="F17" s="78"/>
    </row>
    <row r="18" spans="1:6" ht="15" customHeight="1">
      <c r="A18" s="80" t="s">
        <v>305</v>
      </c>
      <c r="B18" s="61">
        <v>873033</v>
      </c>
      <c r="C18" s="108">
        <v>-86</v>
      </c>
      <c r="D18" s="108">
        <v>464</v>
      </c>
      <c r="E18" s="108">
        <v>-49</v>
      </c>
      <c r="F18" s="108">
        <v>36</v>
      </c>
    </row>
    <row r="19" spans="1:6" ht="34" customHeight="1">
      <c r="A19" s="80" t="s">
        <v>306</v>
      </c>
      <c r="B19" s="61">
        <v>587313</v>
      </c>
      <c r="C19" s="108">
        <v>-82</v>
      </c>
      <c r="D19" s="108">
        <v>334</v>
      </c>
      <c r="E19" s="108">
        <v>-48</v>
      </c>
      <c r="F19" s="108">
        <v>7</v>
      </c>
    </row>
    <row r="20" spans="1:6" ht="35.75" customHeight="1">
      <c r="A20" s="80" t="s">
        <v>307</v>
      </c>
      <c r="B20" s="61">
        <v>587313</v>
      </c>
      <c r="C20" s="108">
        <v>-85</v>
      </c>
      <c r="D20" s="108">
        <v>406</v>
      </c>
      <c r="E20" s="108">
        <v>-24</v>
      </c>
      <c r="F20" s="108">
        <v>8</v>
      </c>
    </row>
    <row r="21" spans="1:6" ht="35.75" customHeight="1">
      <c r="A21" s="80" t="s">
        <v>308</v>
      </c>
      <c r="B21" s="61">
        <v>93323</v>
      </c>
      <c r="C21" s="108">
        <v>4</v>
      </c>
      <c r="D21" s="108">
        <v>0</v>
      </c>
      <c r="E21" s="108">
        <v>-90</v>
      </c>
      <c r="F21" s="108">
        <v>859</v>
      </c>
    </row>
    <row r="22" spans="1:6" ht="15" customHeight="1">
      <c r="A22" s="80" t="s">
        <v>268</v>
      </c>
      <c r="B22" s="61">
        <v>116736</v>
      </c>
      <c r="C22" s="108">
        <v>0</v>
      </c>
      <c r="D22" s="108">
        <v>12</v>
      </c>
      <c r="E22" s="108">
        <v>4</v>
      </c>
      <c r="F22" s="108">
        <v>-83</v>
      </c>
    </row>
    <row r="23" spans="1:6" ht="15" customHeight="1">
      <c r="A23" s="79" t="s">
        <v>309</v>
      </c>
      <c r="B23" s="38"/>
      <c r="C23" s="78"/>
      <c r="D23" s="78"/>
      <c r="E23" s="78"/>
      <c r="F23" s="78"/>
    </row>
    <row r="24" spans="1:6" ht="15" customHeight="1">
      <c r="A24" s="79" t="s">
        <v>273</v>
      </c>
      <c r="B24" s="38"/>
      <c r="C24" s="78"/>
      <c r="D24" s="78"/>
      <c r="E24" s="78"/>
      <c r="F24" s="78"/>
    </row>
    <row r="25" spans="1:6" ht="32" customHeight="1">
      <c r="A25" s="80" t="s">
        <v>310</v>
      </c>
      <c r="B25" s="61">
        <v>283000</v>
      </c>
      <c r="C25" s="108">
        <v>-9</v>
      </c>
      <c r="D25" s="108">
        <v>7</v>
      </c>
      <c r="E25" s="108">
        <v>2</v>
      </c>
      <c r="F25" s="108">
        <v>0</v>
      </c>
    </row>
    <row r="26" spans="1:6" ht="15" customHeight="1">
      <c r="A26" s="80" t="s">
        <v>311</v>
      </c>
      <c r="B26" s="61">
        <v>116000</v>
      </c>
      <c r="C26" s="108">
        <v>-4</v>
      </c>
      <c r="D26" s="108">
        <v>70</v>
      </c>
      <c r="E26" s="108">
        <v>0</v>
      </c>
      <c r="F26" s="108">
        <v>0</v>
      </c>
    </row>
    <row r="27" spans="1:6" ht="15" customHeight="1">
      <c r="A27" s="80" t="s">
        <v>312</v>
      </c>
      <c r="B27" s="61">
        <v>111000</v>
      </c>
      <c r="C27" s="108">
        <v>-27</v>
      </c>
      <c r="D27" s="108">
        <v>30</v>
      </c>
      <c r="E27" s="108">
        <v>5</v>
      </c>
      <c r="F27" s="108">
        <v>0</v>
      </c>
    </row>
    <row r="28" spans="1:6" ht="15" customHeight="1">
      <c r="A28" s="80" t="s">
        <v>313</v>
      </c>
      <c r="B28" s="61">
        <v>121500</v>
      </c>
      <c r="C28" s="108">
        <v>135</v>
      </c>
      <c r="D28" s="108">
        <v>-32</v>
      </c>
      <c r="E28" s="108">
        <v>0</v>
      </c>
      <c r="F28" s="108">
        <v>0</v>
      </c>
    </row>
    <row r="29" spans="1:6" ht="15" customHeight="1">
      <c r="A29" s="80" t="s">
        <v>314</v>
      </c>
      <c r="B29" s="61">
        <v>135000</v>
      </c>
      <c r="C29" s="108">
        <v>-10</v>
      </c>
      <c r="D29" s="108">
        <v>9</v>
      </c>
      <c r="E29" s="108">
        <v>2</v>
      </c>
      <c r="F29" s="108">
        <v>-1</v>
      </c>
    </row>
    <row r="30" spans="1:6" ht="15" customHeight="1">
      <c r="A30" s="80" t="s">
        <v>315</v>
      </c>
      <c r="B30" s="61">
        <v>114000</v>
      </c>
      <c r="C30" s="108">
        <v>-6</v>
      </c>
      <c r="D30" s="108">
        <v>6</v>
      </c>
      <c r="E30" s="108">
        <v>13</v>
      </c>
      <c r="F30" s="108">
        <v>0</v>
      </c>
    </row>
    <row r="31" spans="1:6" ht="15" customHeight="1">
      <c r="A31" s="79" t="s">
        <v>279</v>
      </c>
      <c r="B31" s="38"/>
      <c r="C31" s="78"/>
      <c r="D31" s="78"/>
      <c r="E31" s="78"/>
      <c r="F31" s="78"/>
    </row>
    <row r="32" spans="1:6" ht="32" customHeight="1">
      <c r="A32" s="80" t="s">
        <v>316</v>
      </c>
      <c r="B32" s="61">
        <v>185000</v>
      </c>
      <c r="C32" s="108">
        <v>-11</v>
      </c>
      <c r="D32" s="108">
        <v>28</v>
      </c>
      <c r="E32" s="108">
        <v>46</v>
      </c>
      <c r="F32" s="108">
        <v>-1</v>
      </c>
    </row>
    <row r="33" spans="1:6" ht="35.75" customHeight="1">
      <c r="A33" s="80" t="s">
        <v>317</v>
      </c>
      <c r="B33" s="61">
        <v>114000</v>
      </c>
      <c r="C33" s="108">
        <v>-6</v>
      </c>
      <c r="D33" s="108">
        <v>9</v>
      </c>
      <c r="E33" s="108">
        <v>14</v>
      </c>
      <c r="F33" s="108">
        <v>0</v>
      </c>
    </row>
    <row r="34" spans="1:6" ht="15" customHeight="1">
      <c r="A34" s="80" t="s">
        <v>318</v>
      </c>
      <c r="B34" s="61">
        <v>110500</v>
      </c>
      <c r="C34" s="108">
        <v>-4</v>
      </c>
      <c r="D34" s="108">
        <v>1</v>
      </c>
      <c r="E34" s="108">
        <v>2</v>
      </c>
      <c r="F34" s="108">
        <v>12</v>
      </c>
    </row>
    <row r="35" spans="1:6" ht="34" customHeight="1">
      <c r="A35" s="80" t="s">
        <v>319</v>
      </c>
      <c r="B35" s="61">
        <v>108500</v>
      </c>
      <c r="C35" s="108">
        <v>-18</v>
      </c>
      <c r="D35" s="108">
        <v>21</v>
      </c>
      <c r="E35" s="108">
        <v>9</v>
      </c>
      <c r="F35" s="108">
        <v>0</v>
      </c>
    </row>
    <row r="36" spans="1:6" ht="15" customHeight="1">
      <c r="A36" s="80" t="s">
        <v>320</v>
      </c>
      <c r="B36" s="61">
        <v>92500</v>
      </c>
      <c r="C36" s="108">
        <v>-3</v>
      </c>
      <c r="D36" s="108">
        <v>67</v>
      </c>
      <c r="E36" s="108">
        <v>0</v>
      </c>
      <c r="F36" s="108">
        <v>0</v>
      </c>
    </row>
    <row r="37" spans="1:6" ht="35.75" customHeight="1">
      <c r="A37" s="80" t="s">
        <v>321</v>
      </c>
      <c r="B37" s="62">
        <v>110500</v>
      </c>
      <c r="C37" s="110">
        <v>-4</v>
      </c>
      <c r="D37" s="110">
        <v>-19</v>
      </c>
      <c r="E37" s="110">
        <v>-24</v>
      </c>
      <c r="F37" s="110">
        <v>0</v>
      </c>
    </row>
    <row r="38" spans="1:6" ht="47" customHeight="1">
      <c r="A38" s="324" t="s">
        <v>322</v>
      </c>
      <c r="B38" s="324"/>
      <c r="C38" s="324"/>
      <c r="D38" s="324"/>
      <c r="E38" s="324"/>
      <c r="F38" s="324"/>
    </row>
    <row r="39" spans="1:6" ht="15" customHeight="1"/>
    <row r="40" spans="1:6" ht="15" customHeight="1"/>
    <row r="41" spans="1:6" ht="15" customHeight="1"/>
    <row r="42" spans="1:6" ht="15" customHeight="1"/>
    <row r="43" spans="1:6" ht="15" customHeight="1"/>
    <row r="44" spans="1:6" ht="15" customHeight="1"/>
    <row r="45" spans="1:6" ht="15" customHeight="1"/>
    <row r="46" spans="1:6" ht="15" customHeight="1"/>
    <row r="47" spans="1:6" ht="15" customHeight="1"/>
    <row r="48" spans="1:6" ht="15" customHeight="1"/>
  </sheetData>
  <mergeCells count="4">
    <mergeCell ref="A3:E3"/>
    <mergeCell ref="A38:F38"/>
    <mergeCell ref="A2:F2"/>
    <mergeCell ref="A4:F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3"/>
  <sheetViews>
    <sheetView showRuler="0" workbookViewId="0">
      <selection activeCell="A2" sqref="A2:C2"/>
    </sheetView>
  </sheetViews>
  <sheetFormatPr baseColWidth="10" defaultColWidth="12.83203125" defaultRowHeight="13"/>
  <cols>
    <col min="1" max="1" width="76.5" customWidth="1"/>
    <col min="2" max="3" width="41.5" customWidth="1"/>
  </cols>
  <sheetData>
    <row r="1" spans="1:3" ht="15.75" customHeight="1">
      <c r="A1" s="239" t="str">
        <f>HYPERLINK("#'Index'!A1","Back to index")</f>
        <v>Back to index</v>
      </c>
    </row>
    <row r="2" spans="1:3" ht="25" customHeight="1">
      <c r="A2" s="310" t="s">
        <v>49</v>
      </c>
      <c r="B2" s="311"/>
      <c r="C2" s="311"/>
    </row>
    <row r="3" spans="1:3" ht="22.5" customHeight="1">
      <c r="A3" s="312" t="s">
        <v>1</v>
      </c>
      <c r="B3" s="311"/>
      <c r="C3" s="311"/>
    </row>
    <row r="4" spans="1:3" ht="28" customHeight="1" thickBot="1">
      <c r="A4" s="243"/>
      <c r="B4" s="244" t="s">
        <v>51</v>
      </c>
      <c r="C4" s="244" t="s">
        <v>52</v>
      </c>
    </row>
    <row r="5" spans="1:3" ht="60" customHeight="1">
      <c r="A5" s="245" t="s">
        <v>53</v>
      </c>
      <c r="B5" s="313" t="s">
        <v>54</v>
      </c>
      <c r="C5" s="313"/>
    </row>
    <row r="6" spans="1:3" ht="15" customHeight="1">
      <c r="A6" s="246" t="s">
        <v>55</v>
      </c>
      <c r="B6" s="247" t="s">
        <v>56</v>
      </c>
      <c r="C6" s="247" t="s">
        <v>57</v>
      </c>
    </row>
    <row r="7" spans="1:3" ht="15" customHeight="1">
      <c r="A7" s="246" t="s">
        <v>58</v>
      </c>
      <c r="B7" s="247" t="s">
        <v>59</v>
      </c>
      <c r="C7" s="248" t="s">
        <v>60</v>
      </c>
    </row>
    <row r="8" spans="1:3" ht="15" customHeight="1">
      <c r="A8" s="246" t="s">
        <v>61</v>
      </c>
      <c r="B8" s="247" t="s">
        <v>56</v>
      </c>
      <c r="C8" s="247" t="s">
        <v>57</v>
      </c>
    </row>
    <row r="9" spans="1:3" ht="15" customHeight="1">
      <c r="A9" s="246" t="s">
        <v>62</v>
      </c>
      <c r="B9" s="247" t="s">
        <v>56</v>
      </c>
      <c r="C9" s="247" t="s">
        <v>57</v>
      </c>
    </row>
    <row r="10" spans="1:3" ht="15" customHeight="1">
      <c r="A10" s="246" t="s">
        <v>63</v>
      </c>
      <c r="B10" s="247" t="s">
        <v>56</v>
      </c>
      <c r="C10" s="247" t="s">
        <v>57</v>
      </c>
    </row>
    <row r="11" spans="1:3" ht="15" customHeight="1">
      <c r="A11" s="246" t="s">
        <v>64</v>
      </c>
      <c r="B11" s="247" t="s">
        <v>65</v>
      </c>
      <c r="C11" s="247" t="s">
        <v>60</v>
      </c>
    </row>
    <row r="12" spans="1:3" ht="15" customHeight="1">
      <c r="A12" s="246" t="s">
        <v>66</v>
      </c>
      <c r="B12" s="247" t="s">
        <v>56</v>
      </c>
      <c r="C12" s="247" t="s">
        <v>57</v>
      </c>
    </row>
    <row r="13" spans="1:3" ht="15" customHeight="1">
      <c r="A13" s="246" t="s">
        <v>67</v>
      </c>
      <c r="B13" s="247" t="s">
        <v>56</v>
      </c>
      <c r="C13" s="247" t="s">
        <v>57</v>
      </c>
    </row>
    <row r="14" spans="1:3" ht="15" customHeight="1">
      <c r="A14" s="246" t="s">
        <v>68</v>
      </c>
      <c r="B14" s="247" t="s">
        <v>56</v>
      </c>
      <c r="C14" s="247" t="s">
        <v>57</v>
      </c>
    </row>
    <row r="15" spans="1:3" ht="15" customHeight="1">
      <c r="A15" s="246" t="s">
        <v>69</v>
      </c>
      <c r="B15" s="247" t="s">
        <v>56</v>
      </c>
      <c r="C15" s="247" t="s">
        <v>57</v>
      </c>
    </row>
    <row r="16" spans="1:3" ht="15" customHeight="1">
      <c r="A16" s="246" t="s">
        <v>70</v>
      </c>
      <c r="B16" s="247" t="s">
        <v>56</v>
      </c>
      <c r="C16" s="247" t="s">
        <v>57</v>
      </c>
    </row>
    <row r="17" spans="1:3" ht="15" customHeight="1">
      <c r="A17" s="246" t="s">
        <v>71</v>
      </c>
      <c r="B17" s="247" t="s">
        <v>56</v>
      </c>
      <c r="C17" s="247" t="s">
        <v>57</v>
      </c>
    </row>
    <row r="18" spans="1:3" ht="30.75" customHeight="1">
      <c r="A18" s="249" t="s">
        <v>72</v>
      </c>
      <c r="B18" s="247" t="s">
        <v>73</v>
      </c>
      <c r="C18" s="250"/>
    </row>
    <row r="19" spans="1:3" ht="30.75" customHeight="1">
      <c r="A19" s="246" t="s">
        <v>74</v>
      </c>
      <c r="B19" s="247" t="s">
        <v>75</v>
      </c>
      <c r="C19" s="247" t="s">
        <v>57</v>
      </c>
    </row>
    <row r="20" spans="1:3" ht="15" customHeight="1">
      <c r="A20" s="246" t="s">
        <v>64</v>
      </c>
      <c r="B20" s="247" t="s">
        <v>76</v>
      </c>
      <c r="C20" s="247" t="s">
        <v>77</v>
      </c>
    </row>
    <row r="21" spans="1:3" ht="15" customHeight="1">
      <c r="A21" s="246" t="s">
        <v>61</v>
      </c>
      <c r="B21" s="247" t="s">
        <v>75</v>
      </c>
      <c r="C21" s="247" t="s">
        <v>57</v>
      </c>
    </row>
    <row r="22" spans="1:3" ht="15" customHeight="1">
      <c r="A22" s="246" t="s">
        <v>63</v>
      </c>
      <c r="B22" s="247" t="s">
        <v>75</v>
      </c>
      <c r="C22" s="247" t="s">
        <v>57</v>
      </c>
    </row>
    <row r="23" spans="1:3" ht="15" customHeight="1">
      <c r="A23" s="246" t="s">
        <v>78</v>
      </c>
      <c r="B23" s="247" t="s">
        <v>79</v>
      </c>
      <c r="C23" s="247" t="s">
        <v>77</v>
      </c>
    </row>
    <row r="24" spans="1:3" ht="15" customHeight="1">
      <c r="A24" s="246" t="s">
        <v>70</v>
      </c>
      <c r="B24" s="247" t="s">
        <v>75</v>
      </c>
      <c r="C24" s="247" t="s">
        <v>57</v>
      </c>
    </row>
    <row r="25" spans="1:3" ht="15" customHeight="1">
      <c r="A25" s="246" t="s">
        <v>71</v>
      </c>
      <c r="B25" s="247" t="s">
        <v>75</v>
      </c>
      <c r="C25" s="247" t="s">
        <v>57</v>
      </c>
    </row>
    <row r="26" spans="1:3" ht="15" customHeight="1">
      <c r="A26" s="246" t="s">
        <v>80</v>
      </c>
      <c r="B26" s="247" t="s">
        <v>75</v>
      </c>
      <c r="C26" s="247" t="s">
        <v>57</v>
      </c>
    </row>
    <row r="27" spans="1:3" ht="30.75" customHeight="1">
      <c r="A27" s="251" t="s">
        <v>81</v>
      </c>
      <c r="B27" s="247" t="s">
        <v>82</v>
      </c>
      <c r="C27" s="250"/>
    </row>
    <row r="28" spans="1:3" ht="30.75" customHeight="1">
      <c r="A28" s="246" t="s">
        <v>83</v>
      </c>
      <c r="B28" s="247" t="s">
        <v>84</v>
      </c>
      <c r="C28" s="247" t="s">
        <v>57</v>
      </c>
    </row>
    <row r="29" spans="1:3" ht="15" customHeight="1">
      <c r="A29" s="246" t="s">
        <v>61</v>
      </c>
      <c r="B29" s="247" t="s">
        <v>84</v>
      </c>
      <c r="C29" s="247" t="s">
        <v>57</v>
      </c>
    </row>
    <row r="30" spans="1:3" ht="15" customHeight="1">
      <c r="A30" s="246" t="s">
        <v>62</v>
      </c>
      <c r="B30" s="247" t="s">
        <v>84</v>
      </c>
      <c r="C30" s="247" t="s">
        <v>57</v>
      </c>
    </row>
    <row r="31" spans="1:3" ht="15" customHeight="1">
      <c r="A31" s="246" t="s">
        <v>78</v>
      </c>
      <c r="B31" s="247" t="s">
        <v>85</v>
      </c>
      <c r="C31" s="247" t="s">
        <v>86</v>
      </c>
    </row>
    <row r="32" spans="1:3" ht="15" customHeight="1">
      <c r="A32" s="246" t="s">
        <v>68</v>
      </c>
      <c r="B32" s="247" t="s">
        <v>84</v>
      </c>
      <c r="C32" s="247" t="s">
        <v>57</v>
      </c>
    </row>
    <row r="33" spans="1:3" ht="15" customHeight="1">
      <c r="A33" s="246" t="s">
        <v>70</v>
      </c>
      <c r="B33" s="247" t="s">
        <v>84</v>
      </c>
      <c r="C33" s="247" t="s">
        <v>57</v>
      </c>
    </row>
    <row r="34" spans="1:3" ht="42.5" customHeight="1">
      <c r="A34" s="249" t="s">
        <v>87</v>
      </c>
      <c r="B34" s="247" t="s">
        <v>88</v>
      </c>
      <c r="C34" s="250"/>
    </row>
    <row r="35" spans="1:3" ht="15" customHeight="1">
      <c r="A35" s="246" t="s">
        <v>55</v>
      </c>
      <c r="B35" s="247" t="s">
        <v>89</v>
      </c>
      <c r="C35" s="247" t="s">
        <v>57</v>
      </c>
    </row>
    <row r="36" spans="1:3" ht="15" customHeight="1">
      <c r="A36" s="246" t="s">
        <v>63</v>
      </c>
      <c r="B36" s="247" t="s">
        <v>89</v>
      </c>
      <c r="C36" s="247" t="s">
        <v>57</v>
      </c>
    </row>
    <row r="37" spans="1:3" ht="15" customHeight="1">
      <c r="A37" s="246" t="s">
        <v>64</v>
      </c>
      <c r="B37" s="247" t="s">
        <v>89</v>
      </c>
      <c r="C37" s="247" t="s">
        <v>57</v>
      </c>
    </row>
    <row r="38" spans="1:3" ht="15" customHeight="1">
      <c r="A38" s="246" t="s">
        <v>67</v>
      </c>
      <c r="B38" s="247" t="s">
        <v>89</v>
      </c>
      <c r="C38" s="247" t="s">
        <v>57</v>
      </c>
    </row>
    <row r="39" spans="1:3" ht="15" customHeight="1">
      <c r="A39" s="246" t="s">
        <v>69</v>
      </c>
      <c r="B39" s="247" t="s">
        <v>89</v>
      </c>
      <c r="C39" s="247" t="s">
        <v>57</v>
      </c>
    </row>
    <row r="40" spans="1:3" ht="15" customHeight="1">
      <c r="A40" s="246" t="s">
        <v>71</v>
      </c>
      <c r="B40" s="247" t="s">
        <v>89</v>
      </c>
      <c r="C40" s="247" t="s">
        <v>57</v>
      </c>
    </row>
    <row r="41" spans="1:3" ht="30.75" customHeight="1">
      <c r="A41" s="249" t="s">
        <v>90</v>
      </c>
      <c r="B41" s="314" t="s">
        <v>91</v>
      </c>
      <c r="C41" s="314"/>
    </row>
    <row r="42" spans="1:3" ht="30.75" customHeight="1" thickBot="1">
      <c r="A42" s="252" t="s">
        <v>92</v>
      </c>
      <c r="B42" s="316" t="s">
        <v>91</v>
      </c>
      <c r="C42" s="316"/>
    </row>
    <row r="43" spans="1:3" ht="15.75" customHeight="1">
      <c r="A43" s="315" t="s">
        <v>93</v>
      </c>
      <c r="B43" s="315"/>
      <c r="C43" s="315"/>
    </row>
  </sheetData>
  <mergeCells count="6">
    <mergeCell ref="A2:C2"/>
    <mergeCell ref="A3:C3"/>
    <mergeCell ref="B5:C5"/>
    <mergeCell ref="B41:C41"/>
    <mergeCell ref="A43:C43"/>
    <mergeCell ref="B42:C4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49"/>
  <sheetViews>
    <sheetView showRuler="0" workbookViewId="0">
      <selection activeCell="A2" sqref="A2:G2"/>
    </sheetView>
  </sheetViews>
  <sheetFormatPr baseColWidth="10" defaultColWidth="12.83203125" defaultRowHeight="13"/>
  <cols>
    <col min="1" max="1" width="56.5" customWidth="1"/>
    <col min="2" max="7" width="17" customWidth="1"/>
  </cols>
  <sheetData>
    <row r="1" spans="1:7" ht="15.75" customHeight="1">
      <c r="A1" s="239" t="str">
        <f>HYPERLINK("#'Index'!A1","Back to index")</f>
        <v>Back to index</v>
      </c>
    </row>
    <row r="2" spans="1:7" ht="25" customHeight="1">
      <c r="A2" s="310" t="s">
        <v>49</v>
      </c>
      <c r="B2" s="311"/>
      <c r="C2" s="311"/>
      <c r="D2" s="311"/>
      <c r="E2" s="311"/>
      <c r="F2" s="311"/>
      <c r="G2" s="311"/>
    </row>
    <row r="3" spans="1:7" ht="22.5" customHeight="1">
      <c r="A3" s="312" t="s">
        <v>323</v>
      </c>
      <c r="B3" s="311"/>
      <c r="C3" s="311"/>
      <c r="D3" s="311"/>
      <c r="E3" s="311"/>
      <c r="F3" s="311"/>
      <c r="G3" s="311"/>
    </row>
    <row r="4" spans="1:7" ht="13" customHeight="1">
      <c r="A4" s="323"/>
      <c r="B4" s="323"/>
      <c r="C4" s="323"/>
      <c r="D4" s="323"/>
      <c r="E4" s="323"/>
      <c r="F4" s="323"/>
      <c r="G4" s="323"/>
    </row>
    <row r="5" spans="1:7" ht="15" customHeight="1">
      <c r="A5" s="5"/>
      <c r="B5" s="28"/>
      <c r="C5" s="29" t="s">
        <v>50</v>
      </c>
      <c r="D5" s="28" t="s">
        <v>247</v>
      </c>
      <c r="E5" s="28" t="s">
        <v>324</v>
      </c>
      <c r="F5" s="28" t="s">
        <v>325</v>
      </c>
      <c r="G5" s="28" t="s">
        <v>326</v>
      </c>
    </row>
    <row r="6" spans="1:7" ht="15" customHeight="1">
      <c r="A6" s="14" t="s">
        <v>327</v>
      </c>
      <c r="B6" s="76" t="s">
        <v>328</v>
      </c>
      <c r="C6" s="111">
        <v>106.2</v>
      </c>
      <c r="D6" s="230" t="s">
        <v>1156</v>
      </c>
      <c r="E6" s="112">
        <v>70.14</v>
      </c>
      <c r="F6" s="112">
        <v>53.98</v>
      </c>
      <c r="G6" s="112">
        <v>65.38</v>
      </c>
    </row>
    <row r="7" spans="1:7" ht="15" customHeight="1">
      <c r="A7" s="16" t="s">
        <v>329</v>
      </c>
      <c r="B7" s="78" t="s">
        <v>328</v>
      </c>
      <c r="C7" s="113">
        <v>106.6</v>
      </c>
      <c r="D7" s="232" t="s">
        <v>1157</v>
      </c>
      <c r="E7" s="232" t="s">
        <v>1162</v>
      </c>
      <c r="F7" s="114">
        <v>116.3</v>
      </c>
      <c r="G7" s="114">
        <v>87.3</v>
      </c>
    </row>
    <row r="8" spans="1:7" ht="15" customHeight="1">
      <c r="A8" s="16" t="s">
        <v>330</v>
      </c>
      <c r="B8" s="78" t="s">
        <v>328</v>
      </c>
      <c r="C8" s="113">
        <v>62.85</v>
      </c>
      <c r="D8" s="232" t="s">
        <v>1158</v>
      </c>
      <c r="E8" s="232" t="s">
        <v>1163</v>
      </c>
      <c r="F8" s="114">
        <v>53</v>
      </c>
      <c r="G8" s="114">
        <v>54.94</v>
      </c>
    </row>
    <row r="9" spans="1:7" ht="15" customHeight="1">
      <c r="A9" s="16" t="s">
        <v>331</v>
      </c>
      <c r="B9" s="78" t="s">
        <v>332</v>
      </c>
      <c r="C9" s="61">
        <v>4774</v>
      </c>
      <c r="D9" s="88">
        <v>2960</v>
      </c>
      <c r="E9" s="88">
        <v>3153</v>
      </c>
      <c r="F9" s="88">
        <v>2427</v>
      </c>
      <c r="G9" s="88">
        <v>2939</v>
      </c>
    </row>
    <row r="10" spans="1:7" ht="15" customHeight="1">
      <c r="A10" s="16" t="s">
        <v>333</v>
      </c>
      <c r="B10" s="78" t="s">
        <v>334</v>
      </c>
      <c r="C10" s="113">
        <v>44956.7</v>
      </c>
      <c r="D10" s="114">
        <v>44956.7</v>
      </c>
      <c r="E10" s="114">
        <v>44956.7</v>
      </c>
      <c r="F10" s="114">
        <v>44956.7</v>
      </c>
      <c r="G10" s="114">
        <v>44956.7</v>
      </c>
    </row>
    <row r="11" spans="1:7" ht="15" customHeight="1">
      <c r="A11" s="16" t="s">
        <v>335</v>
      </c>
      <c r="B11" s="78" t="s">
        <v>328</v>
      </c>
      <c r="C11" s="113">
        <v>1.6</v>
      </c>
      <c r="D11" s="232" t="s">
        <v>1159</v>
      </c>
      <c r="E11" s="114">
        <v>1.4</v>
      </c>
      <c r="F11" s="114">
        <v>1.8</v>
      </c>
      <c r="G11" s="114">
        <v>1.6</v>
      </c>
    </row>
    <row r="12" spans="1:7" ht="15" customHeight="1">
      <c r="A12" s="16" t="s">
        <v>336</v>
      </c>
      <c r="B12" s="78" t="s">
        <v>337</v>
      </c>
      <c r="C12" s="231" t="s">
        <v>1154</v>
      </c>
      <c r="D12" s="232" t="s">
        <v>1122</v>
      </c>
      <c r="E12" s="232" t="s">
        <v>1139</v>
      </c>
      <c r="F12" s="232" t="s">
        <v>1091</v>
      </c>
      <c r="G12" s="232" t="s">
        <v>1138</v>
      </c>
    </row>
    <row r="13" spans="1:7" ht="15" customHeight="1">
      <c r="A13" s="16" t="s">
        <v>338</v>
      </c>
      <c r="B13" s="78" t="s">
        <v>337</v>
      </c>
      <c r="C13" s="231" t="s">
        <v>1155</v>
      </c>
      <c r="D13" s="232" t="s">
        <v>1161</v>
      </c>
      <c r="E13" s="232" t="s">
        <v>1164</v>
      </c>
      <c r="F13" s="232" t="s">
        <v>1165</v>
      </c>
      <c r="G13" s="232" t="s">
        <v>1166</v>
      </c>
    </row>
    <row r="14" spans="1:7" ht="15" customHeight="1">
      <c r="A14" s="16" t="s">
        <v>339</v>
      </c>
      <c r="B14" s="78" t="s">
        <v>328</v>
      </c>
      <c r="C14" s="113">
        <v>5.97</v>
      </c>
      <c r="D14" s="232" t="s">
        <v>1160</v>
      </c>
      <c r="E14" s="114">
        <v>6.13</v>
      </c>
      <c r="F14" s="114">
        <v>9.91</v>
      </c>
      <c r="G14" s="114">
        <v>6.51</v>
      </c>
    </row>
    <row r="15" spans="1:7" ht="15" customHeight="1">
      <c r="A15" s="21" t="s">
        <v>340</v>
      </c>
      <c r="B15" s="116"/>
      <c r="C15" s="117">
        <v>17.79</v>
      </c>
      <c r="D15" s="118">
        <v>8.59</v>
      </c>
      <c r="E15" s="118">
        <v>11.44</v>
      </c>
      <c r="F15" s="118">
        <v>5.45</v>
      </c>
      <c r="G15" s="118">
        <v>10.039999999999999</v>
      </c>
    </row>
    <row r="16" spans="1:7" ht="15" customHeight="1">
      <c r="A16" s="355" t="s">
        <v>1153</v>
      </c>
      <c r="B16" s="355"/>
      <c r="C16" s="355"/>
      <c r="D16" s="355"/>
      <c r="E16" s="355"/>
      <c r="F16" s="355"/>
      <c r="G16" s="355"/>
    </row>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sheetData>
  <mergeCells count="4">
    <mergeCell ref="A2:G2"/>
    <mergeCell ref="A3:G3"/>
    <mergeCell ref="A16:G16"/>
    <mergeCell ref="A4:G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7"/>
  <sheetViews>
    <sheetView showRuler="0" workbookViewId="0">
      <selection activeCell="A2" sqref="A2:B2"/>
    </sheetView>
  </sheetViews>
  <sheetFormatPr baseColWidth="10" defaultColWidth="12.83203125" defaultRowHeight="13"/>
  <cols>
    <col min="1" max="1" width="38.1640625" customWidth="1"/>
    <col min="2" max="2" width="52.83203125" customWidth="1"/>
  </cols>
  <sheetData>
    <row r="1" spans="1:2" ht="14">
      <c r="A1" s="239" t="str">
        <f>HYPERLINK("#'Index'!A1","Back to index")</f>
        <v>Back to index</v>
      </c>
    </row>
    <row r="2" spans="1:2" ht="25" customHeight="1">
      <c r="A2" s="310" t="s">
        <v>49</v>
      </c>
      <c r="B2" s="311"/>
    </row>
    <row r="3" spans="1:2" ht="22.5" customHeight="1">
      <c r="A3" s="312" t="s">
        <v>12</v>
      </c>
      <c r="B3" s="311"/>
    </row>
    <row r="4" spans="1:2">
      <c r="A4" s="311"/>
      <c r="B4" s="311"/>
    </row>
    <row r="5" spans="1:2" ht="17">
      <c r="A5" s="119" t="s">
        <v>341</v>
      </c>
      <c r="B5" s="14" t="s">
        <v>342</v>
      </c>
    </row>
    <row r="6" spans="1:2" ht="35.75" customHeight="1">
      <c r="A6" s="8" t="s">
        <v>343</v>
      </c>
      <c r="B6" s="7" t="s">
        <v>344</v>
      </c>
    </row>
    <row r="7" spans="1:2" ht="20" customHeight="1">
      <c r="A7" s="8" t="s">
        <v>345</v>
      </c>
      <c r="B7" s="7" t="s">
        <v>346</v>
      </c>
    </row>
    <row r="8" spans="1:2" ht="17">
      <c r="A8" s="8" t="s">
        <v>347</v>
      </c>
      <c r="B8" s="7" t="s">
        <v>348</v>
      </c>
    </row>
    <row r="9" spans="1:2" ht="17">
      <c r="A9" s="8" t="s">
        <v>349</v>
      </c>
      <c r="B9" s="7" t="s">
        <v>350</v>
      </c>
    </row>
    <row r="10" spans="1:2" ht="51">
      <c r="A10" s="8" t="s">
        <v>351</v>
      </c>
      <c r="B10" s="7" t="s">
        <v>352</v>
      </c>
    </row>
    <row r="11" spans="1:2" ht="17">
      <c r="A11" s="8" t="s">
        <v>353</v>
      </c>
      <c r="B11" s="7" t="s">
        <v>354</v>
      </c>
    </row>
    <row r="12" spans="1:2" ht="17">
      <c r="A12" s="8" t="s">
        <v>355</v>
      </c>
      <c r="B12" s="7" t="s">
        <v>356</v>
      </c>
    </row>
    <row r="13" spans="1:2" ht="17">
      <c r="A13" s="8" t="s">
        <v>357</v>
      </c>
      <c r="B13" s="7" t="s">
        <v>358</v>
      </c>
    </row>
    <row r="14" spans="1:2" ht="17">
      <c r="A14" s="8" t="s">
        <v>359</v>
      </c>
      <c r="B14" s="7" t="s">
        <v>360</v>
      </c>
    </row>
    <row r="15" spans="1:2" ht="17">
      <c r="A15" s="8" t="s">
        <v>361</v>
      </c>
      <c r="B15" s="7" t="s">
        <v>362</v>
      </c>
    </row>
    <row r="16" spans="1:2" ht="17">
      <c r="A16" s="40" t="s">
        <v>363</v>
      </c>
      <c r="B16" s="40" t="s">
        <v>364</v>
      </c>
    </row>
    <row r="17" spans="1:2">
      <c r="A17" s="120" t="s">
        <v>242</v>
      </c>
      <c r="B17" s="44"/>
    </row>
  </sheetData>
  <mergeCells count="3">
    <mergeCell ref="A2:B2"/>
    <mergeCell ref="A3:B3"/>
    <mergeCell ref="A4:B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48"/>
  <sheetViews>
    <sheetView showRuler="0" workbookViewId="0">
      <selection activeCell="A2" sqref="A2:B2"/>
    </sheetView>
  </sheetViews>
  <sheetFormatPr baseColWidth="10" defaultColWidth="12.83203125" defaultRowHeight="13"/>
  <cols>
    <col min="1" max="1" width="38.1640625" customWidth="1"/>
    <col min="2" max="2" width="52.83203125" customWidth="1"/>
  </cols>
  <sheetData>
    <row r="1" spans="1:2" ht="15.75" customHeight="1">
      <c r="A1" s="239" t="str">
        <f>HYPERLINK("#'Index'!A1","Back to index")</f>
        <v>Back to index</v>
      </c>
    </row>
    <row r="2" spans="1:2" ht="25" customHeight="1">
      <c r="A2" s="310" t="s">
        <v>49</v>
      </c>
      <c r="B2" s="311"/>
    </row>
    <row r="3" spans="1:2" ht="22.5" customHeight="1">
      <c r="A3" s="312" t="s">
        <v>13</v>
      </c>
      <c r="B3" s="311"/>
    </row>
    <row r="4" spans="1:2" ht="15" customHeight="1">
      <c r="A4" s="311"/>
      <c r="B4" s="311"/>
    </row>
    <row r="5" spans="1:2" ht="15" customHeight="1">
      <c r="A5" s="121" t="s">
        <v>365</v>
      </c>
      <c r="B5" s="14" t="s">
        <v>366</v>
      </c>
    </row>
    <row r="6" spans="1:2" ht="15" customHeight="1">
      <c r="A6" s="122" t="s">
        <v>367</v>
      </c>
      <c r="B6" s="16" t="s">
        <v>368</v>
      </c>
    </row>
    <row r="7" spans="1:2" ht="15" customHeight="1">
      <c r="A7" s="122" t="s">
        <v>369</v>
      </c>
      <c r="B7" s="16" t="s">
        <v>370</v>
      </c>
    </row>
    <row r="8" spans="1:2" ht="15" customHeight="1">
      <c r="A8" s="122" t="s">
        <v>371</v>
      </c>
      <c r="B8" s="16" t="s">
        <v>372</v>
      </c>
    </row>
    <row r="9" spans="1:2" ht="15" customHeight="1">
      <c r="A9" s="122" t="s">
        <v>373</v>
      </c>
      <c r="B9" s="16" t="s">
        <v>374</v>
      </c>
    </row>
    <row r="10" spans="1:2" ht="15" customHeight="1">
      <c r="A10" s="122" t="s">
        <v>375</v>
      </c>
      <c r="B10" s="16" t="s">
        <v>376</v>
      </c>
    </row>
    <row r="11" spans="1:2" ht="15" customHeight="1">
      <c r="A11" s="122" t="s">
        <v>377</v>
      </c>
      <c r="B11" s="16" t="s">
        <v>378</v>
      </c>
    </row>
    <row r="12" spans="1:2" ht="15" customHeight="1">
      <c r="A12" s="122" t="s">
        <v>379</v>
      </c>
      <c r="B12" s="16" t="s">
        <v>380</v>
      </c>
    </row>
    <row r="13" spans="1:2" ht="15" customHeight="1">
      <c r="A13" s="122" t="s">
        <v>381</v>
      </c>
      <c r="B13" s="16" t="s">
        <v>382</v>
      </c>
    </row>
    <row r="14" spans="1:2" ht="15" customHeight="1">
      <c r="A14" s="122" t="s">
        <v>383</v>
      </c>
      <c r="B14" s="16" t="s">
        <v>384</v>
      </c>
    </row>
    <row r="15" spans="1:2" ht="15" customHeight="1">
      <c r="A15" s="122" t="s">
        <v>385</v>
      </c>
      <c r="B15" s="16" t="s">
        <v>386</v>
      </c>
    </row>
    <row r="16" spans="1:2" ht="15" customHeight="1">
      <c r="A16" s="123" t="s">
        <v>387</v>
      </c>
      <c r="B16" s="21" t="s">
        <v>388</v>
      </c>
    </row>
    <row r="17" spans="1:2" ht="15" customHeight="1">
      <c r="A17" s="365" t="s">
        <v>242</v>
      </c>
      <c r="B17" s="365"/>
    </row>
    <row r="18" spans="1:2" ht="15" customHeight="1"/>
    <row r="19" spans="1:2" ht="15" customHeight="1"/>
    <row r="20" spans="1:2" ht="15" customHeight="1"/>
    <row r="21" spans="1:2" ht="15" customHeight="1"/>
    <row r="22" spans="1:2" ht="15" customHeight="1"/>
    <row r="23" spans="1:2" ht="15" customHeight="1"/>
    <row r="24" spans="1:2" ht="15" customHeight="1"/>
    <row r="25" spans="1:2" ht="15" customHeight="1"/>
    <row r="26" spans="1:2" ht="15" customHeight="1"/>
    <row r="27" spans="1:2" ht="15" customHeight="1"/>
    <row r="28" spans="1:2" ht="15" customHeight="1"/>
    <row r="29" spans="1:2" ht="15" customHeight="1"/>
    <row r="30" spans="1:2" ht="15" customHeight="1"/>
    <row r="31" spans="1:2" ht="15" customHeight="1"/>
    <row r="32" spans="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sheetData>
  <mergeCells count="4">
    <mergeCell ref="A2:B2"/>
    <mergeCell ref="A3:B3"/>
    <mergeCell ref="A4:B4"/>
    <mergeCell ref="A17:B1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61"/>
  <sheetViews>
    <sheetView showRuler="0" workbookViewId="0">
      <selection activeCell="A2" sqref="A2:D2"/>
    </sheetView>
  </sheetViews>
  <sheetFormatPr baseColWidth="10" defaultColWidth="12.83203125" defaultRowHeight="13"/>
  <cols>
    <col min="1" max="1" width="11.1640625" customWidth="1"/>
    <col min="2" max="2" width="23.33203125" customWidth="1"/>
    <col min="3" max="3" width="51.6640625" customWidth="1"/>
    <col min="4" max="4" width="19.33203125" customWidth="1"/>
    <col min="5" max="5" width="28.6640625" customWidth="1"/>
  </cols>
  <sheetData>
    <row r="1" spans="1:6" ht="15.75" customHeight="1">
      <c r="A1" s="366" t="s">
        <v>1094</v>
      </c>
      <c r="B1" s="311"/>
    </row>
    <row r="2" spans="1:6" ht="25" customHeight="1">
      <c r="A2" s="310" t="s">
        <v>49</v>
      </c>
      <c r="B2" s="310"/>
      <c r="C2" s="310"/>
      <c r="D2" s="310"/>
      <c r="E2" s="268"/>
    </row>
    <row r="3" spans="1:6" ht="22.5" customHeight="1">
      <c r="A3" s="312" t="s">
        <v>14</v>
      </c>
      <c r="B3" s="312"/>
      <c r="C3" s="312"/>
      <c r="D3" s="312"/>
      <c r="F3" s="27"/>
    </row>
    <row r="4" spans="1:6">
      <c r="A4" s="323"/>
      <c r="B4" s="323"/>
      <c r="C4" s="323"/>
      <c r="D4" s="323"/>
    </row>
    <row r="5" spans="1:6" ht="15" thickBot="1">
      <c r="A5" s="367" t="s">
        <v>389</v>
      </c>
      <c r="B5" s="311"/>
      <c r="C5" s="311"/>
      <c r="D5" s="311"/>
    </row>
    <row r="6" spans="1:6" ht="13" customHeight="1">
      <c r="A6" s="363"/>
      <c r="B6" s="363"/>
      <c r="C6" s="363"/>
      <c r="D6" s="363"/>
    </row>
    <row r="7" spans="1:6" ht="17" thickBot="1">
      <c r="A7" s="367" t="s">
        <v>390</v>
      </c>
      <c r="B7" s="367"/>
      <c r="C7" s="367"/>
    </row>
    <row r="8" spans="1:6" ht="17">
      <c r="A8" s="368" t="s">
        <v>391</v>
      </c>
      <c r="B8" s="368" t="s">
        <v>392</v>
      </c>
      <c r="C8" s="14" t="s">
        <v>393</v>
      </c>
      <c r="D8" s="86">
        <v>2841</v>
      </c>
    </row>
    <row r="9" spans="1:6" ht="17">
      <c r="A9" s="320"/>
      <c r="B9" s="318"/>
      <c r="C9" s="16" t="s">
        <v>394</v>
      </c>
      <c r="D9" s="108">
        <v>10</v>
      </c>
    </row>
    <row r="10" spans="1:6" ht="17">
      <c r="A10" s="320"/>
      <c r="B10" s="16" t="s">
        <v>395</v>
      </c>
      <c r="C10" s="16" t="s">
        <v>396</v>
      </c>
      <c r="D10" s="108">
        <v>740</v>
      </c>
    </row>
    <row r="11" spans="1:6" ht="17">
      <c r="A11" s="320"/>
      <c r="B11" s="16" t="s">
        <v>397</v>
      </c>
      <c r="C11" s="16" t="s">
        <v>398</v>
      </c>
      <c r="D11" s="108">
        <v>442</v>
      </c>
    </row>
    <row r="12" spans="1:6" ht="17">
      <c r="A12" s="320"/>
      <c r="B12" s="16" t="s">
        <v>399</v>
      </c>
      <c r="C12" s="16" t="s">
        <v>400</v>
      </c>
      <c r="D12" s="108">
        <v>122</v>
      </c>
    </row>
    <row r="13" spans="1:6" ht="18" customHeight="1">
      <c r="A13" s="318"/>
      <c r="B13" s="7" t="s">
        <v>401</v>
      </c>
      <c r="C13" s="16" t="s">
        <v>402</v>
      </c>
      <c r="D13" s="108">
        <v>50</v>
      </c>
    </row>
    <row r="14" spans="1:6" ht="17">
      <c r="A14" s="16" t="s">
        <v>403</v>
      </c>
      <c r="B14" s="16" t="s">
        <v>404</v>
      </c>
      <c r="C14" s="16" t="s">
        <v>405</v>
      </c>
      <c r="D14" s="232" t="s">
        <v>1167</v>
      </c>
    </row>
    <row r="15" spans="1:6" ht="17">
      <c r="A15" s="319" t="s">
        <v>406</v>
      </c>
      <c r="B15" s="16" t="s">
        <v>407</v>
      </c>
      <c r="C15" s="16" t="s">
        <v>408</v>
      </c>
      <c r="D15" s="108">
        <v>715</v>
      </c>
    </row>
    <row r="16" spans="1:6" ht="17">
      <c r="A16" s="318"/>
      <c r="B16" s="16" t="s">
        <v>409</v>
      </c>
      <c r="C16" s="16" t="s">
        <v>410</v>
      </c>
      <c r="D16" s="108">
        <v>501</v>
      </c>
    </row>
    <row r="17" spans="1:5" ht="17">
      <c r="A17" s="16" t="s">
        <v>411</v>
      </c>
      <c r="B17" s="16" t="s">
        <v>412</v>
      </c>
      <c r="C17" s="16" t="s">
        <v>413</v>
      </c>
      <c r="D17" s="108">
        <v>329</v>
      </c>
    </row>
    <row r="18" spans="1:5" ht="17">
      <c r="A18" s="16" t="s">
        <v>414</v>
      </c>
      <c r="B18" s="16" t="s">
        <v>415</v>
      </c>
      <c r="C18" s="16" t="s">
        <v>416</v>
      </c>
      <c r="D18" s="108">
        <v>90</v>
      </c>
    </row>
    <row r="19" spans="1:5" ht="17">
      <c r="A19" s="16" t="s">
        <v>417</v>
      </c>
      <c r="B19" s="16" t="s">
        <v>418</v>
      </c>
      <c r="C19" s="16" t="s">
        <v>419</v>
      </c>
      <c r="D19" s="108">
        <v>104</v>
      </c>
    </row>
    <row r="20" spans="1:5" ht="19">
      <c r="A20" s="16" t="s">
        <v>420</v>
      </c>
      <c r="B20" s="16" t="s">
        <v>421</v>
      </c>
      <c r="C20" s="16" t="s">
        <v>410</v>
      </c>
      <c r="D20" s="108">
        <v>1</v>
      </c>
    </row>
    <row r="21" spans="1:5" ht="17">
      <c r="A21" s="16" t="s">
        <v>422</v>
      </c>
      <c r="B21" s="16" t="s">
        <v>423</v>
      </c>
      <c r="C21" s="16" t="s">
        <v>410</v>
      </c>
      <c r="D21" s="108">
        <v>1</v>
      </c>
    </row>
    <row r="22" spans="1:5" ht="17">
      <c r="A22" s="16" t="s">
        <v>424</v>
      </c>
      <c r="B22" s="16" t="s">
        <v>425</v>
      </c>
      <c r="C22" s="16" t="s">
        <v>426</v>
      </c>
      <c r="D22" s="108">
        <v>1</v>
      </c>
    </row>
    <row r="23" spans="1:5" ht="17">
      <c r="A23" s="16" t="s">
        <v>427</v>
      </c>
      <c r="B23" s="16" t="s">
        <v>428</v>
      </c>
      <c r="C23" s="16" t="s">
        <v>426</v>
      </c>
      <c r="D23" s="108">
        <v>1</v>
      </c>
    </row>
    <row r="24" spans="1:5" ht="16">
      <c r="A24" s="369" t="s">
        <v>429</v>
      </c>
      <c r="B24" s="369"/>
      <c r="C24" s="369"/>
      <c r="D24" s="90">
        <v>6969</v>
      </c>
    </row>
    <row r="25" spans="1:5" ht="16">
      <c r="A25" s="370" t="s">
        <v>430</v>
      </c>
      <c r="B25" s="370"/>
      <c r="C25" s="370"/>
      <c r="D25" s="125"/>
    </row>
    <row r="26" spans="1:5" ht="17">
      <c r="A26" s="332"/>
      <c r="B26" s="14" t="s">
        <v>431</v>
      </c>
      <c r="C26" s="14" t="s">
        <v>432</v>
      </c>
      <c r="D26" s="126">
        <v>221</v>
      </c>
    </row>
    <row r="27" spans="1:5" ht="16" hidden="1">
      <c r="A27" s="311"/>
      <c r="B27" s="16"/>
      <c r="C27" s="16"/>
      <c r="D27" s="134"/>
    </row>
    <row r="28" spans="1:5" ht="16">
      <c r="A28" s="371" t="s">
        <v>433</v>
      </c>
      <c r="B28" s="371"/>
      <c r="C28" s="371"/>
      <c r="D28" s="127">
        <v>221</v>
      </c>
    </row>
    <row r="29" spans="1:5" ht="17" thickBot="1">
      <c r="A29" s="376" t="s">
        <v>434</v>
      </c>
      <c r="B29" s="376"/>
      <c r="C29" s="376"/>
      <c r="D29" s="269">
        <v>7190</v>
      </c>
    </row>
    <row r="30" spans="1:5" ht="55" customHeight="1">
      <c r="A30" s="324" t="s">
        <v>435</v>
      </c>
      <c r="B30" s="324"/>
      <c r="C30" s="324"/>
      <c r="D30" s="324"/>
      <c r="E30" s="128"/>
    </row>
    <row r="31" spans="1:5" ht="22.5" customHeight="1">
      <c r="A31" s="323"/>
      <c r="B31" s="323"/>
      <c r="C31" s="323"/>
      <c r="D31" s="323"/>
    </row>
    <row r="32" spans="1:5" ht="22.5" customHeight="1" thickBot="1">
      <c r="A32" s="377" t="s">
        <v>436</v>
      </c>
      <c r="B32" s="378"/>
      <c r="C32" s="378"/>
      <c r="D32" s="378"/>
    </row>
    <row r="33" spans="1:5" ht="17" thickBot="1">
      <c r="A33" s="367" t="s">
        <v>390</v>
      </c>
      <c r="B33" s="367"/>
      <c r="C33" s="367"/>
      <c r="D33" s="99"/>
    </row>
    <row r="34" spans="1:5" ht="17">
      <c r="A34" s="14" t="s">
        <v>391</v>
      </c>
      <c r="B34" s="14" t="s">
        <v>437</v>
      </c>
      <c r="C34" s="14" t="s">
        <v>438</v>
      </c>
      <c r="D34" s="129">
        <v>29</v>
      </c>
    </row>
    <row r="35" spans="1:5" ht="19">
      <c r="A35" s="7" t="s">
        <v>439</v>
      </c>
      <c r="B35" s="7" t="s">
        <v>440</v>
      </c>
      <c r="C35" s="7" t="s">
        <v>441</v>
      </c>
      <c r="D35" s="130">
        <v>2</v>
      </c>
    </row>
    <row r="36" spans="1:5" ht="17">
      <c r="A36" s="16" t="s">
        <v>442</v>
      </c>
      <c r="B36" s="16" t="s">
        <v>443</v>
      </c>
      <c r="C36" s="7" t="s">
        <v>444</v>
      </c>
      <c r="D36" s="130">
        <v>1</v>
      </c>
    </row>
    <row r="37" spans="1:5" ht="16">
      <c r="A37" s="369" t="s">
        <v>429</v>
      </c>
      <c r="B37" s="369"/>
      <c r="C37" s="369"/>
      <c r="D37" s="131">
        <v>32</v>
      </c>
    </row>
    <row r="38" spans="1:5" ht="16">
      <c r="A38" s="370" t="s">
        <v>445</v>
      </c>
      <c r="B38" s="370"/>
      <c r="C38" s="370"/>
      <c r="D38" s="125"/>
    </row>
    <row r="39" spans="1:5" ht="19">
      <c r="A39" s="368" t="s">
        <v>446</v>
      </c>
      <c r="B39" s="6" t="s">
        <v>447</v>
      </c>
      <c r="C39" s="6"/>
      <c r="D39" s="126">
        <v>1</v>
      </c>
    </row>
    <row r="40" spans="1:5" ht="17">
      <c r="A40" s="318"/>
      <c r="B40" s="7" t="s">
        <v>448</v>
      </c>
      <c r="C40" s="7" t="s">
        <v>449</v>
      </c>
      <c r="D40" s="130">
        <v>4</v>
      </c>
    </row>
    <row r="41" spans="1:5" ht="19">
      <c r="A41" s="16" t="s">
        <v>450</v>
      </c>
      <c r="B41" s="16" t="s">
        <v>451</v>
      </c>
      <c r="C41" s="16"/>
      <c r="D41" s="108">
        <v>1</v>
      </c>
    </row>
    <row r="42" spans="1:5" ht="19">
      <c r="A42" s="16" t="s">
        <v>452</v>
      </c>
      <c r="B42" s="16" t="s">
        <v>453</v>
      </c>
      <c r="C42" s="16"/>
      <c r="D42" s="108">
        <v>1</v>
      </c>
    </row>
    <row r="43" spans="1:5" ht="17">
      <c r="A43" s="16" t="s">
        <v>454</v>
      </c>
      <c r="B43" s="16" t="s">
        <v>455</v>
      </c>
      <c r="C43" s="16" t="s">
        <v>456</v>
      </c>
      <c r="D43" s="108">
        <v>1</v>
      </c>
    </row>
    <row r="44" spans="1:5" ht="16">
      <c r="A44" s="369" t="s">
        <v>457</v>
      </c>
      <c r="B44" s="369"/>
      <c r="C44" s="369"/>
      <c r="D44" s="131">
        <v>8</v>
      </c>
    </row>
    <row r="45" spans="1:5" ht="17" thickBot="1">
      <c r="A45" s="372" t="s">
        <v>434</v>
      </c>
      <c r="B45" s="372"/>
      <c r="C45" s="372"/>
      <c r="D45" s="270">
        <v>40</v>
      </c>
    </row>
    <row r="46" spans="1:5" ht="22.5" customHeight="1">
      <c r="A46" s="373" t="s">
        <v>1168</v>
      </c>
      <c r="B46" s="373"/>
      <c r="C46" s="373"/>
      <c r="D46" s="373"/>
    </row>
    <row r="47" spans="1:5" ht="25" customHeight="1" thickBot="1">
      <c r="A47" s="379"/>
      <c r="B47" s="379"/>
      <c r="C47" s="379"/>
      <c r="D47" s="379"/>
    </row>
    <row r="48" spans="1:5" ht="21.75" customHeight="1">
      <c r="A48" s="374" t="s">
        <v>458</v>
      </c>
      <c r="B48" s="382" t="s">
        <v>459</v>
      </c>
      <c r="C48" s="382"/>
      <c r="D48" s="24" t="s">
        <v>460</v>
      </c>
      <c r="E48" s="272"/>
    </row>
    <row r="49" spans="1:5" ht="22" customHeight="1">
      <c r="A49" s="375"/>
      <c r="B49" s="383"/>
      <c r="C49" s="383"/>
      <c r="D49" s="25" t="s">
        <v>461</v>
      </c>
      <c r="E49" s="272"/>
    </row>
    <row r="50" spans="1:5" ht="56" customHeight="1">
      <c r="A50" s="133" t="s">
        <v>462</v>
      </c>
      <c r="B50" s="384" t="s">
        <v>463</v>
      </c>
      <c r="C50" s="384"/>
      <c r="D50" s="7"/>
      <c r="E50" s="273"/>
    </row>
    <row r="51" spans="1:5" ht="19" customHeight="1">
      <c r="A51" s="380" t="s">
        <v>464</v>
      </c>
      <c r="B51" s="385" t="s">
        <v>465</v>
      </c>
      <c r="C51" s="385"/>
      <c r="D51" s="25" t="s">
        <v>466</v>
      </c>
      <c r="E51" s="272"/>
    </row>
    <row r="52" spans="1:5" ht="17">
      <c r="A52" s="311"/>
      <c r="B52" s="386"/>
      <c r="C52" s="386"/>
      <c r="D52" s="25" t="s">
        <v>467</v>
      </c>
      <c r="E52" s="272"/>
    </row>
    <row r="53" spans="1:5" ht="17">
      <c r="A53" s="311"/>
      <c r="B53" s="386"/>
      <c r="C53" s="386"/>
      <c r="D53" s="25" t="s">
        <v>468</v>
      </c>
      <c r="E53" s="272"/>
    </row>
    <row r="54" spans="1:5" ht="17">
      <c r="A54" s="311"/>
      <c r="B54" s="386"/>
      <c r="C54" s="386"/>
      <c r="D54" s="25" t="s">
        <v>469</v>
      </c>
      <c r="E54" s="272"/>
    </row>
    <row r="55" spans="1:5" ht="17">
      <c r="A55" s="311"/>
      <c r="B55" s="386"/>
      <c r="C55" s="386"/>
      <c r="D55" s="25" t="s">
        <v>470</v>
      </c>
      <c r="E55" s="272"/>
    </row>
    <row r="56" spans="1:5" ht="17">
      <c r="A56" s="311"/>
      <c r="B56" s="386"/>
      <c r="C56" s="386"/>
      <c r="D56" s="25" t="s">
        <v>471</v>
      </c>
      <c r="E56" s="272"/>
    </row>
    <row r="57" spans="1:5" ht="17">
      <c r="A57" s="311"/>
      <c r="B57" s="386"/>
      <c r="C57" s="386"/>
      <c r="D57" s="25" t="s">
        <v>472</v>
      </c>
      <c r="E57" s="272"/>
    </row>
    <row r="58" spans="1:5" ht="17">
      <c r="A58" s="311"/>
      <c r="B58" s="386"/>
      <c r="C58" s="386"/>
      <c r="D58" s="25" t="s">
        <v>473</v>
      </c>
      <c r="E58" s="272"/>
    </row>
    <row r="59" spans="1:5" ht="17">
      <c r="A59" s="311"/>
      <c r="B59" s="386"/>
      <c r="C59" s="386"/>
      <c r="D59" s="25" t="s">
        <v>474</v>
      </c>
      <c r="E59" s="272"/>
    </row>
    <row r="60" spans="1:5" ht="17">
      <c r="A60" s="311"/>
      <c r="B60" s="386"/>
      <c r="C60" s="386"/>
      <c r="D60" s="25" t="s">
        <v>475</v>
      </c>
      <c r="E60" s="272"/>
    </row>
    <row r="61" spans="1:5" ht="18" thickBot="1">
      <c r="A61" s="381"/>
      <c r="B61" s="387"/>
      <c r="C61" s="387"/>
      <c r="D61" s="26" t="s">
        <v>476</v>
      </c>
      <c r="E61" s="272"/>
    </row>
  </sheetData>
  <mergeCells count="31">
    <mergeCell ref="A51:A61"/>
    <mergeCell ref="B48:C49"/>
    <mergeCell ref="B50:C50"/>
    <mergeCell ref="B51:C61"/>
    <mergeCell ref="A29:C29"/>
    <mergeCell ref="A30:D30"/>
    <mergeCell ref="A32:D32"/>
    <mergeCell ref="A33:C33"/>
    <mergeCell ref="A38:C38"/>
    <mergeCell ref="A37:C37"/>
    <mergeCell ref="A31:D31"/>
    <mergeCell ref="A39:A40"/>
    <mergeCell ref="A44:C44"/>
    <mergeCell ref="A45:C45"/>
    <mergeCell ref="A46:D46"/>
    <mergeCell ref="A48:A49"/>
    <mergeCell ref="A47:D47"/>
    <mergeCell ref="A15:A16"/>
    <mergeCell ref="A24:C24"/>
    <mergeCell ref="A26:A27"/>
    <mergeCell ref="A25:C25"/>
    <mergeCell ref="A28:C28"/>
    <mergeCell ref="A1:B1"/>
    <mergeCell ref="A5:D5"/>
    <mergeCell ref="B8:B9"/>
    <mergeCell ref="A7:C7"/>
    <mergeCell ref="A8:A13"/>
    <mergeCell ref="A4:D4"/>
    <mergeCell ref="A2:D2"/>
    <mergeCell ref="A3:D3"/>
    <mergeCell ref="A6:D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19"/>
  <sheetViews>
    <sheetView showRuler="0" workbookViewId="0">
      <selection activeCell="A2" sqref="A2:C2"/>
    </sheetView>
  </sheetViews>
  <sheetFormatPr baseColWidth="10" defaultColWidth="12.83203125" defaultRowHeight="13"/>
  <cols>
    <col min="1" max="1" width="83.1640625" customWidth="1"/>
    <col min="2" max="3" width="16.83203125" customWidth="1"/>
  </cols>
  <sheetData>
    <row r="1" spans="1:3" ht="15.75" customHeight="1">
      <c r="A1" s="239" t="str">
        <f>HYPERLINK("#'Index'!A1","Back to index")</f>
        <v>Back to index</v>
      </c>
    </row>
    <row r="2" spans="1:3" ht="25" customHeight="1">
      <c r="A2" s="310" t="s">
        <v>49</v>
      </c>
      <c r="B2" s="311"/>
      <c r="C2" s="311"/>
    </row>
    <row r="3" spans="1:3" ht="22.5" customHeight="1">
      <c r="A3" s="312" t="s">
        <v>477</v>
      </c>
      <c r="B3" s="311"/>
      <c r="C3" s="311"/>
    </row>
    <row r="4" spans="1:3" ht="15" customHeight="1">
      <c r="A4" s="388"/>
      <c r="B4" s="388"/>
      <c r="C4" s="388"/>
    </row>
    <row r="5" spans="1:3" ht="15" customHeight="1">
      <c r="A5" s="5" t="s">
        <v>332</v>
      </c>
      <c r="B5" s="29" t="s">
        <v>478</v>
      </c>
      <c r="C5" s="28" t="s">
        <v>479</v>
      </c>
    </row>
    <row r="6" spans="1:3" ht="15" customHeight="1">
      <c r="A6" s="14" t="s">
        <v>480</v>
      </c>
      <c r="B6" s="53">
        <v>3492</v>
      </c>
      <c r="C6" s="75">
        <v>3011</v>
      </c>
    </row>
    <row r="7" spans="1:3" ht="15" customHeight="1">
      <c r="A7" s="16" t="s">
        <v>481</v>
      </c>
      <c r="B7" s="55">
        <v>2180</v>
      </c>
      <c r="C7" s="77">
        <v>2087</v>
      </c>
    </row>
    <row r="8" spans="1:3" ht="15" customHeight="1">
      <c r="A8" s="16" t="s">
        <v>482</v>
      </c>
      <c r="B8" s="55">
        <v>618</v>
      </c>
      <c r="C8" s="77">
        <v>628</v>
      </c>
    </row>
    <row r="9" spans="1:3" ht="15" customHeight="1">
      <c r="A9" s="16" t="s">
        <v>483</v>
      </c>
      <c r="B9" s="55">
        <v>360</v>
      </c>
      <c r="C9" s="77">
        <v>289</v>
      </c>
    </row>
    <row r="10" spans="1:3" ht="15" customHeight="1">
      <c r="A10" s="16" t="s">
        <v>484</v>
      </c>
      <c r="B10" s="55">
        <v>-1790</v>
      </c>
      <c r="C10" s="77">
        <v>-1584</v>
      </c>
    </row>
    <row r="11" spans="1:3" ht="15" customHeight="1">
      <c r="A11" s="16" t="s">
        <v>485</v>
      </c>
      <c r="B11" s="55">
        <v>-772</v>
      </c>
      <c r="C11" s="77">
        <v>-691</v>
      </c>
    </row>
    <row r="12" spans="1:3" ht="15" customHeight="1">
      <c r="A12" s="79" t="s">
        <v>486</v>
      </c>
      <c r="B12" s="135">
        <v>4090</v>
      </c>
      <c r="C12" s="136">
        <v>3741</v>
      </c>
    </row>
    <row r="13" spans="1:3" ht="15" customHeight="1">
      <c r="A13" s="16" t="s">
        <v>487</v>
      </c>
      <c r="B13" s="55">
        <v>355</v>
      </c>
      <c r="C13" s="77">
        <v>413</v>
      </c>
    </row>
    <row r="14" spans="1:3" ht="15" customHeight="1">
      <c r="A14" s="16" t="s">
        <v>488</v>
      </c>
      <c r="B14" s="55">
        <v>3</v>
      </c>
      <c r="C14" s="77">
        <v>-3</v>
      </c>
    </row>
    <row r="15" spans="1:3" ht="15" customHeight="1">
      <c r="A15" s="79" t="s">
        <v>1169</v>
      </c>
      <c r="B15" s="135">
        <v>358</v>
      </c>
      <c r="C15" s="136">
        <v>411</v>
      </c>
    </row>
    <row r="16" spans="1:3" ht="15" customHeight="1">
      <c r="A16" s="16" t="s">
        <v>489</v>
      </c>
      <c r="B16" s="55">
        <v>3</v>
      </c>
      <c r="C16" s="77">
        <v>20</v>
      </c>
    </row>
    <row r="17" spans="1:3" ht="15" customHeight="1">
      <c r="A17" s="79" t="s">
        <v>490</v>
      </c>
      <c r="B17" s="135">
        <v>360</v>
      </c>
      <c r="C17" s="136">
        <v>430</v>
      </c>
    </row>
    <row r="18" spans="1:3" ht="15" customHeight="1">
      <c r="A18" s="99" t="s">
        <v>491</v>
      </c>
      <c r="B18" s="137">
        <v>8.8000000000000009E-2</v>
      </c>
      <c r="C18" s="138">
        <v>0.115</v>
      </c>
    </row>
    <row r="19" spans="1:3" ht="15" customHeight="1">
      <c r="A19" s="365"/>
      <c r="B19" s="365"/>
      <c r="C19" s="365"/>
    </row>
  </sheetData>
  <mergeCells count="4">
    <mergeCell ref="A2:C2"/>
    <mergeCell ref="A3:C3"/>
    <mergeCell ref="A19:C19"/>
    <mergeCell ref="A4:C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9"/>
  <sheetViews>
    <sheetView showRuler="0" workbookViewId="0">
      <selection activeCell="A2" sqref="A2:E2"/>
    </sheetView>
  </sheetViews>
  <sheetFormatPr baseColWidth="10" defaultColWidth="12.83203125" defaultRowHeight="13"/>
  <cols>
    <col min="1" max="1" width="56.5" customWidth="1"/>
    <col min="2" max="5" width="16.83203125" customWidth="1"/>
  </cols>
  <sheetData>
    <row r="1" spans="1:5" ht="14">
      <c r="A1" s="239" t="str">
        <f>HYPERLINK("#'Index'!A1","Back to index")</f>
        <v>Back to index</v>
      </c>
    </row>
    <row r="2" spans="1:5" ht="26" customHeight="1">
      <c r="A2" s="310" t="s">
        <v>49</v>
      </c>
      <c r="B2" s="311"/>
      <c r="C2" s="311"/>
      <c r="D2" s="311"/>
      <c r="E2" s="311"/>
    </row>
    <row r="3" spans="1:5" ht="20" customHeight="1">
      <c r="A3" s="312" t="s">
        <v>492</v>
      </c>
      <c r="B3" s="311"/>
      <c r="C3" s="311"/>
      <c r="D3" s="311"/>
      <c r="E3" s="311"/>
    </row>
    <row r="4" spans="1:5">
      <c r="A4" s="323"/>
      <c r="B4" s="323"/>
      <c r="C4" s="323"/>
      <c r="D4" s="323"/>
      <c r="E4" s="323"/>
    </row>
    <row r="5" spans="1:5" ht="22.5" customHeight="1">
      <c r="A5" s="5"/>
      <c r="B5" s="29" t="s">
        <v>493</v>
      </c>
      <c r="C5" s="28" t="s">
        <v>494</v>
      </c>
      <c r="D5" s="28" t="s">
        <v>495</v>
      </c>
      <c r="E5" s="28" t="s">
        <v>496</v>
      </c>
    </row>
    <row r="6" spans="1:5" ht="19">
      <c r="A6" s="63" t="s">
        <v>497</v>
      </c>
      <c r="B6" s="70">
        <v>48</v>
      </c>
      <c r="C6" s="69">
        <v>58</v>
      </c>
      <c r="D6" s="69">
        <v>49</v>
      </c>
      <c r="E6" s="69">
        <v>50</v>
      </c>
    </row>
    <row r="7" spans="1:5" ht="17">
      <c r="A7" s="109" t="s">
        <v>498</v>
      </c>
      <c r="B7" s="55">
        <v>1</v>
      </c>
      <c r="C7" s="77">
        <v>1</v>
      </c>
      <c r="D7" s="77">
        <v>3</v>
      </c>
      <c r="E7" s="77">
        <v>0</v>
      </c>
    </row>
    <row r="8" spans="1:5" ht="19">
      <c r="A8" s="21" t="s">
        <v>499</v>
      </c>
      <c r="B8" s="139">
        <v>2.9</v>
      </c>
      <c r="C8" s="140">
        <v>3.6</v>
      </c>
      <c r="D8" s="140">
        <v>3.3</v>
      </c>
      <c r="E8" s="140">
        <v>3.4</v>
      </c>
    </row>
    <row r="9" spans="1:5" ht="47.5" customHeight="1">
      <c r="A9" s="355" t="s">
        <v>500</v>
      </c>
      <c r="B9" s="355"/>
      <c r="C9" s="355"/>
      <c r="D9" s="355"/>
      <c r="E9" s="355"/>
    </row>
  </sheetData>
  <mergeCells count="4">
    <mergeCell ref="A2:E2"/>
    <mergeCell ref="A3:E3"/>
    <mergeCell ref="A9:E9"/>
    <mergeCell ref="A4:E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25"/>
  <sheetViews>
    <sheetView showRuler="0" workbookViewId="0">
      <selection activeCell="A2" sqref="A2:G2"/>
    </sheetView>
  </sheetViews>
  <sheetFormatPr baseColWidth="10" defaultColWidth="12.83203125" defaultRowHeight="13"/>
  <cols>
    <col min="1" max="1" width="72.83203125" customWidth="1"/>
    <col min="2" max="7" width="18.6640625" customWidth="1"/>
    <col min="8" max="8" width="16.83203125" customWidth="1"/>
  </cols>
  <sheetData>
    <row r="1" spans="1:7" ht="14">
      <c r="A1" s="239" t="str">
        <f>HYPERLINK("#'Index'!A1","Back to index")</f>
        <v>Back to index</v>
      </c>
    </row>
    <row r="2" spans="1:7" ht="25" customHeight="1">
      <c r="A2" s="310" t="s">
        <v>49</v>
      </c>
      <c r="B2" s="311"/>
      <c r="C2" s="311"/>
      <c r="D2" s="311"/>
      <c r="E2" s="311"/>
      <c r="F2" s="311"/>
      <c r="G2" s="311"/>
    </row>
    <row r="3" spans="1:7" ht="22.5" customHeight="1">
      <c r="A3" s="312" t="s">
        <v>15</v>
      </c>
      <c r="B3" s="311"/>
      <c r="C3" s="311"/>
      <c r="D3" s="311"/>
      <c r="E3" s="311"/>
      <c r="F3" s="311"/>
      <c r="G3" s="311"/>
    </row>
    <row r="4" spans="1:7" ht="16" customHeight="1">
      <c r="A4" s="323"/>
      <c r="B4" s="323"/>
      <c r="C4" s="323"/>
      <c r="D4" s="323"/>
      <c r="E4" s="323"/>
      <c r="F4" s="323"/>
      <c r="G4" s="323"/>
    </row>
    <row r="5" spans="1:7" ht="22.5" customHeight="1">
      <c r="A5" s="96"/>
      <c r="B5" s="389" t="s">
        <v>501</v>
      </c>
      <c r="C5" s="389"/>
      <c r="D5" s="389"/>
      <c r="E5" s="348" t="s">
        <v>502</v>
      </c>
      <c r="F5" s="349"/>
      <c r="G5" s="349"/>
    </row>
    <row r="6" spans="1:7" ht="34">
      <c r="A6" s="141" t="s">
        <v>332</v>
      </c>
      <c r="B6" s="93" t="s">
        <v>503</v>
      </c>
      <c r="C6" s="93" t="s">
        <v>504</v>
      </c>
      <c r="D6" s="93" t="s">
        <v>505</v>
      </c>
      <c r="E6" s="94" t="s">
        <v>503</v>
      </c>
      <c r="F6" s="94" t="s">
        <v>504</v>
      </c>
      <c r="G6" s="94" t="s">
        <v>505</v>
      </c>
    </row>
    <row r="7" spans="1:7" ht="17">
      <c r="A7" s="33" t="s">
        <v>506</v>
      </c>
      <c r="B7" s="142">
        <v>18171</v>
      </c>
      <c r="C7" s="142">
        <v>0</v>
      </c>
      <c r="D7" s="142">
        <v>18171</v>
      </c>
      <c r="E7" s="143">
        <v>17138</v>
      </c>
      <c r="F7" s="143">
        <v>0</v>
      </c>
      <c r="G7" s="143">
        <v>17138</v>
      </c>
    </row>
    <row r="8" spans="1:7" ht="17">
      <c r="A8" s="16" t="s">
        <v>507</v>
      </c>
      <c r="B8" s="55">
        <v>329</v>
      </c>
      <c r="C8" s="55">
        <v>-286</v>
      </c>
      <c r="D8" s="55">
        <v>42</v>
      </c>
      <c r="E8" s="77">
        <v>125</v>
      </c>
      <c r="F8" s="77">
        <v>-133</v>
      </c>
      <c r="G8" s="77">
        <v>-8</v>
      </c>
    </row>
    <row r="9" spans="1:7" ht="17">
      <c r="A9" s="16" t="s">
        <v>508</v>
      </c>
      <c r="B9" s="55">
        <v>55</v>
      </c>
      <c r="C9" s="55">
        <v>0</v>
      </c>
      <c r="D9" s="55">
        <v>55</v>
      </c>
      <c r="E9" s="77">
        <v>45</v>
      </c>
      <c r="F9" s="77">
        <v>0</v>
      </c>
      <c r="G9" s="77">
        <v>45</v>
      </c>
    </row>
    <row r="10" spans="1:7" ht="17">
      <c r="A10" s="16" t="s">
        <v>509</v>
      </c>
      <c r="B10" s="55">
        <v>151</v>
      </c>
      <c r="C10" s="55">
        <v>0</v>
      </c>
      <c r="D10" s="55">
        <v>151</v>
      </c>
      <c r="E10" s="77">
        <v>121</v>
      </c>
      <c r="F10" s="77">
        <v>32</v>
      </c>
      <c r="G10" s="77">
        <v>152</v>
      </c>
    </row>
    <row r="11" spans="1:7" ht="17">
      <c r="A11" s="16" t="s">
        <v>510</v>
      </c>
      <c r="B11" s="55">
        <v>-16709</v>
      </c>
      <c r="C11" s="55">
        <v>-89</v>
      </c>
      <c r="D11" s="55">
        <v>-16798</v>
      </c>
      <c r="E11" s="77">
        <v>-15634</v>
      </c>
      <c r="F11" s="77">
        <v>-7</v>
      </c>
      <c r="G11" s="77">
        <v>-15641</v>
      </c>
    </row>
    <row r="12" spans="1:7" ht="17">
      <c r="A12" s="79" t="s">
        <v>511</v>
      </c>
      <c r="B12" s="135">
        <v>1997</v>
      </c>
      <c r="C12" s="135">
        <v>-376</v>
      </c>
      <c r="D12" s="135">
        <v>1621</v>
      </c>
      <c r="E12" s="136">
        <v>1795</v>
      </c>
      <c r="F12" s="136">
        <v>-109</v>
      </c>
      <c r="G12" s="136">
        <v>1686</v>
      </c>
    </row>
    <row r="13" spans="1:7" ht="17">
      <c r="A13" s="16" t="s">
        <v>512</v>
      </c>
      <c r="B13" s="55">
        <v>-617</v>
      </c>
      <c r="C13" s="55">
        <v>0</v>
      </c>
      <c r="D13" s="55">
        <v>-617</v>
      </c>
      <c r="E13" s="77">
        <v>-633</v>
      </c>
      <c r="F13" s="77">
        <v>0</v>
      </c>
      <c r="G13" s="77">
        <v>-633</v>
      </c>
    </row>
    <row r="14" spans="1:7" ht="34">
      <c r="A14" s="16" t="s">
        <v>513</v>
      </c>
      <c r="B14" s="55">
        <v>-233</v>
      </c>
      <c r="C14" s="55">
        <v>2</v>
      </c>
      <c r="D14" s="55">
        <v>-231</v>
      </c>
      <c r="E14" s="77">
        <v>-212</v>
      </c>
      <c r="F14" s="77">
        <v>0</v>
      </c>
      <c r="G14" s="77">
        <v>-211</v>
      </c>
    </row>
    <row r="15" spans="1:7" ht="17">
      <c r="A15" s="16" t="s">
        <v>514</v>
      </c>
      <c r="B15" s="55">
        <v>-415</v>
      </c>
      <c r="C15" s="55">
        <v>0</v>
      </c>
      <c r="D15" s="55">
        <v>-415</v>
      </c>
      <c r="E15" s="77">
        <v>-431</v>
      </c>
      <c r="F15" s="77">
        <v>0</v>
      </c>
      <c r="G15" s="77">
        <v>-431</v>
      </c>
    </row>
    <row r="16" spans="1:7" ht="17">
      <c r="A16" s="79" t="s">
        <v>515</v>
      </c>
      <c r="B16" s="135">
        <v>731</v>
      </c>
      <c r="C16" s="135">
        <v>-374</v>
      </c>
      <c r="D16" s="135">
        <v>358</v>
      </c>
      <c r="E16" s="136">
        <v>519</v>
      </c>
      <c r="F16" s="136">
        <v>-108</v>
      </c>
      <c r="G16" s="136">
        <v>411</v>
      </c>
    </row>
    <row r="17" spans="1:7" ht="17">
      <c r="A17" s="16" t="s">
        <v>516</v>
      </c>
      <c r="B17" s="55">
        <v>2</v>
      </c>
      <c r="C17" s="55">
        <v>1</v>
      </c>
      <c r="D17" s="55">
        <v>3</v>
      </c>
      <c r="E17" s="77">
        <v>21</v>
      </c>
      <c r="F17" s="77">
        <v>-1</v>
      </c>
      <c r="G17" s="77">
        <v>20</v>
      </c>
    </row>
    <row r="18" spans="1:7" ht="17">
      <c r="A18" s="16" t="s">
        <v>517</v>
      </c>
      <c r="B18" s="55">
        <v>19</v>
      </c>
      <c r="C18" s="55">
        <v>0</v>
      </c>
      <c r="D18" s="55">
        <v>19</v>
      </c>
      <c r="E18" s="77">
        <v>19</v>
      </c>
      <c r="F18" s="77">
        <v>0</v>
      </c>
      <c r="G18" s="77">
        <v>19</v>
      </c>
    </row>
    <row r="19" spans="1:7" ht="17">
      <c r="A19" s="16" t="s">
        <v>518</v>
      </c>
      <c r="B19" s="55">
        <v>-23</v>
      </c>
      <c r="C19" s="55">
        <v>0</v>
      </c>
      <c r="D19" s="55">
        <v>-23</v>
      </c>
      <c r="E19" s="77">
        <v>-36</v>
      </c>
      <c r="F19" s="77">
        <v>0</v>
      </c>
      <c r="G19" s="77">
        <v>-36</v>
      </c>
    </row>
    <row r="20" spans="1:7" ht="17">
      <c r="A20" s="16" t="s">
        <v>519</v>
      </c>
      <c r="B20" s="55">
        <v>0</v>
      </c>
      <c r="C20" s="55">
        <v>0</v>
      </c>
      <c r="D20" s="55">
        <v>0</v>
      </c>
      <c r="E20" s="77">
        <v>0</v>
      </c>
      <c r="F20" s="77">
        <v>0</v>
      </c>
      <c r="G20" s="77">
        <v>0</v>
      </c>
    </row>
    <row r="21" spans="1:7" ht="17">
      <c r="A21" s="16" t="s">
        <v>520</v>
      </c>
      <c r="B21" s="55">
        <v>-2</v>
      </c>
      <c r="C21" s="55">
        <v>0</v>
      </c>
      <c r="D21" s="55">
        <v>-2</v>
      </c>
      <c r="E21" s="77">
        <v>0</v>
      </c>
      <c r="F21" s="77">
        <v>0</v>
      </c>
      <c r="G21" s="77">
        <v>0</v>
      </c>
    </row>
    <row r="22" spans="1:7" ht="17">
      <c r="A22" s="79" t="s">
        <v>487</v>
      </c>
      <c r="B22" s="135">
        <v>727</v>
      </c>
      <c r="C22" s="135">
        <v>-373</v>
      </c>
      <c r="D22" s="135">
        <v>355</v>
      </c>
      <c r="E22" s="136">
        <v>523</v>
      </c>
      <c r="F22" s="136">
        <v>-109</v>
      </c>
      <c r="G22" s="136">
        <v>413</v>
      </c>
    </row>
    <row r="23" spans="1:7" ht="17">
      <c r="A23" s="16" t="s">
        <v>521</v>
      </c>
      <c r="B23" s="55">
        <v>-188</v>
      </c>
      <c r="C23" s="55">
        <v>94</v>
      </c>
      <c r="D23" s="55">
        <v>-94</v>
      </c>
      <c r="E23" s="77">
        <v>-107</v>
      </c>
      <c r="F23" s="77">
        <v>28</v>
      </c>
      <c r="G23" s="77">
        <v>-79</v>
      </c>
    </row>
    <row r="24" spans="1:7" ht="17">
      <c r="A24" s="124" t="s">
        <v>522</v>
      </c>
      <c r="B24" s="144">
        <v>539</v>
      </c>
      <c r="C24" s="144">
        <v>-278</v>
      </c>
      <c r="D24" s="144">
        <v>261</v>
      </c>
      <c r="E24" s="82">
        <v>416</v>
      </c>
      <c r="F24" s="82">
        <v>-82</v>
      </c>
      <c r="G24" s="82">
        <v>335</v>
      </c>
    </row>
    <row r="25" spans="1:7" ht="16">
      <c r="A25" s="332"/>
      <c r="B25" s="332"/>
      <c r="C25" s="332"/>
      <c r="D25" s="332"/>
      <c r="E25" s="332"/>
      <c r="F25" s="332"/>
      <c r="G25" s="332"/>
    </row>
  </sheetData>
  <mergeCells count="6">
    <mergeCell ref="A2:G2"/>
    <mergeCell ref="A3:G3"/>
    <mergeCell ref="B5:D5"/>
    <mergeCell ref="E5:G5"/>
    <mergeCell ref="A25:G25"/>
    <mergeCell ref="A4:G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48"/>
  <sheetViews>
    <sheetView showRuler="0" workbookViewId="0">
      <selection activeCell="A2" sqref="A2:C2"/>
    </sheetView>
  </sheetViews>
  <sheetFormatPr baseColWidth="10" defaultColWidth="12.83203125" defaultRowHeight="13"/>
  <cols>
    <col min="1" max="1" width="62.1640625" customWidth="1"/>
    <col min="2" max="3" width="16.83203125" customWidth="1"/>
  </cols>
  <sheetData>
    <row r="1" spans="1:3" ht="15.75" customHeight="1">
      <c r="A1" s="239" t="str">
        <f>HYPERLINK("#'Index'!A1","Back to index")</f>
        <v>Back to index</v>
      </c>
    </row>
    <row r="2" spans="1:3" ht="25" customHeight="1">
      <c r="A2" s="310" t="s">
        <v>49</v>
      </c>
      <c r="B2" s="311"/>
      <c r="C2" s="311"/>
    </row>
    <row r="3" spans="1:3" ht="22.5" customHeight="1">
      <c r="A3" s="312" t="s">
        <v>523</v>
      </c>
      <c r="B3" s="311"/>
      <c r="C3" s="311"/>
    </row>
    <row r="4" spans="1:3" ht="13" customHeight="1">
      <c r="A4" s="323"/>
      <c r="B4" s="323"/>
      <c r="C4" s="323"/>
    </row>
    <row r="5" spans="1:3" ht="22.5" customHeight="1">
      <c r="A5" s="5" t="s">
        <v>239</v>
      </c>
      <c r="B5" s="29" t="s">
        <v>50</v>
      </c>
      <c r="C5" s="28" t="s">
        <v>247</v>
      </c>
    </row>
    <row r="6" spans="1:3" ht="15" customHeight="1">
      <c r="A6" s="14" t="s">
        <v>524</v>
      </c>
      <c r="B6" s="229" t="s">
        <v>1154</v>
      </c>
      <c r="C6" s="230" t="s">
        <v>1154</v>
      </c>
    </row>
    <row r="7" spans="1:3" ht="15" customHeight="1">
      <c r="A7" s="16" t="s">
        <v>525</v>
      </c>
      <c r="B7" s="231" t="s">
        <v>1170</v>
      </c>
      <c r="C7" s="232" t="s">
        <v>1171</v>
      </c>
    </row>
    <row r="8" spans="1:3" ht="15" customHeight="1">
      <c r="A8" s="16" t="s">
        <v>526</v>
      </c>
      <c r="B8" s="231" t="s">
        <v>1052</v>
      </c>
      <c r="C8" s="232" t="s">
        <v>1080</v>
      </c>
    </row>
    <row r="9" spans="1:3" ht="15" customHeight="1">
      <c r="A9" s="16" t="s">
        <v>527</v>
      </c>
      <c r="B9" s="231" t="s">
        <v>1079</v>
      </c>
      <c r="C9" s="232" t="s">
        <v>1078</v>
      </c>
    </row>
    <row r="10" spans="1:3" ht="15" customHeight="1">
      <c r="A10" s="124" t="s">
        <v>528</v>
      </c>
      <c r="B10" s="235" t="s">
        <v>1056</v>
      </c>
      <c r="C10" s="236" t="s">
        <v>1056</v>
      </c>
    </row>
    <row r="11" spans="1:3" ht="15.75" customHeight="1">
      <c r="A11" s="373" t="s">
        <v>242</v>
      </c>
      <c r="B11" s="373"/>
      <c r="C11" s="373"/>
    </row>
    <row r="12" spans="1:3" ht="15" customHeight="1"/>
    <row r="13" spans="1:3" ht="15" customHeight="1"/>
    <row r="14" spans="1:3" ht="15" customHeight="1"/>
    <row r="15" spans="1:3" ht="15" customHeight="1"/>
    <row r="16" spans="1:3"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sheetData>
  <mergeCells count="4">
    <mergeCell ref="A2:C2"/>
    <mergeCell ref="A3:C3"/>
    <mergeCell ref="A11:C11"/>
    <mergeCell ref="A4:C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13"/>
  <sheetViews>
    <sheetView showRuler="0" workbookViewId="0">
      <selection activeCell="A2" sqref="A2:C2"/>
    </sheetView>
  </sheetViews>
  <sheetFormatPr baseColWidth="10" defaultColWidth="12.83203125" defaultRowHeight="13"/>
  <cols>
    <col min="1" max="1" width="56.5" customWidth="1"/>
    <col min="2" max="4" width="16.83203125" customWidth="1"/>
  </cols>
  <sheetData>
    <row r="1" spans="1:3" ht="14">
      <c r="A1" s="239" t="str">
        <f>HYPERLINK("#'Index'!A1","Back to index")</f>
        <v>Back to index</v>
      </c>
    </row>
    <row r="2" spans="1:3" ht="25" customHeight="1">
      <c r="A2" s="310" t="s">
        <v>49</v>
      </c>
      <c r="B2" s="311"/>
      <c r="C2" s="311"/>
    </row>
    <row r="3" spans="1:3" ht="22.5" customHeight="1">
      <c r="A3" s="312" t="s">
        <v>16</v>
      </c>
      <c r="B3" s="311"/>
      <c r="C3" s="311"/>
    </row>
    <row r="4" spans="1:3">
      <c r="A4" s="323"/>
      <c r="B4" s="323"/>
      <c r="C4" s="323"/>
    </row>
    <row r="5" spans="1:3" ht="22.5" customHeight="1">
      <c r="A5" s="5" t="s">
        <v>529</v>
      </c>
      <c r="B5" s="29" t="s">
        <v>478</v>
      </c>
      <c r="C5" s="28" t="s">
        <v>479</v>
      </c>
    </row>
    <row r="6" spans="1:3" ht="17">
      <c r="A6" s="14" t="s">
        <v>530</v>
      </c>
      <c r="B6" s="53">
        <v>452</v>
      </c>
      <c r="C6" s="75">
        <v>199</v>
      </c>
    </row>
    <row r="7" spans="1:3" ht="17">
      <c r="A7" s="16" t="s">
        <v>531</v>
      </c>
      <c r="B7" s="55">
        <v>31</v>
      </c>
      <c r="C7" s="77">
        <v>36</v>
      </c>
    </row>
    <row r="8" spans="1:3" ht="17">
      <c r="A8" s="79" t="s">
        <v>532</v>
      </c>
      <c r="B8" s="135">
        <v>483</v>
      </c>
      <c r="C8" s="136">
        <v>235</v>
      </c>
    </row>
    <row r="9" spans="1:3" ht="17">
      <c r="A9" s="16" t="s">
        <v>533</v>
      </c>
      <c r="B9" s="55">
        <v>44</v>
      </c>
      <c r="C9" s="77">
        <v>135</v>
      </c>
    </row>
    <row r="10" spans="1:3" ht="17">
      <c r="A10" s="16" t="s">
        <v>534</v>
      </c>
      <c r="B10" s="55">
        <v>14</v>
      </c>
      <c r="C10" s="77">
        <v>12</v>
      </c>
    </row>
    <row r="11" spans="1:3" ht="17">
      <c r="A11" s="79" t="s">
        <v>535</v>
      </c>
      <c r="B11" s="135">
        <v>58</v>
      </c>
      <c r="C11" s="136">
        <v>148</v>
      </c>
    </row>
    <row r="12" spans="1:3" ht="17">
      <c r="A12" s="124" t="s">
        <v>536</v>
      </c>
      <c r="B12" s="144">
        <v>542</v>
      </c>
      <c r="C12" s="82">
        <v>383</v>
      </c>
    </row>
    <row r="13" spans="1:3" ht="16">
      <c r="A13" s="363" t="s">
        <v>242</v>
      </c>
      <c r="B13" s="363"/>
      <c r="C13" s="363"/>
    </row>
  </sheetData>
  <mergeCells count="4">
    <mergeCell ref="A2:C2"/>
    <mergeCell ref="A3:C3"/>
    <mergeCell ref="A13:C13"/>
    <mergeCell ref="A4:C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C15"/>
  <sheetViews>
    <sheetView showRuler="0" workbookViewId="0">
      <selection activeCell="A2" sqref="A2:C2"/>
    </sheetView>
  </sheetViews>
  <sheetFormatPr baseColWidth="10" defaultColWidth="12.83203125" defaultRowHeight="13"/>
  <cols>
    <col min="1" max="1" width="56.5" customWidth="1"/>
    <col min="2" max="4" width="16.83203125" customWidth="1"/>
  </cols>
  <sheetData>
    <row r="1" spans="1:3" ht="14">
      <c r="A1" s="239" t="str">
        <f>HYPERLINK("#'Index'!A1","Back to index")</f>
        <v>Back to index</v>
      </c>
    </row>
    <row r="2" spans="1:3" ht="25" customHeight="1">
      <c r="A2" s="310" t="s">
        <v>49</v>
      </c>
      <c r="B2" s="311"/>
      <c r="C2" s="311"/>
    </row>
    <row r="3" spans="1:3" ht="20" customHeight="1">
      <c r="A3" s="312" t="s">
        <v>17</v>
      </c>
      <c r="B3" s="311"/>
      <c r="C3" s="311"/>
    </row>
    <row r="4" spans="1:3">
      <c r="A4" s="323"/>
      <c r="B4" s="323"/>
      <c r="C4" s="323"/>
    </row>
    <row r="5" spans="1:3" ht="22.5" customHeight="1">
      <c r="A5" s="5" t="s">
        <v>239</v>
      </c>
      <c r="B5" s="29" t="s">
        <v>478</v>
      </c>
      <c r="C5" s="28" t="s">
        <v>479</v>
      </c>
    </row>
    <row r="6" spans="1:3" ht="17">
      <c r="A6" s="14" t="s">
        <v>537</v>
      </c>
      <c r="B6" s="229" t="s">
        <v>1067</v>
      </c>
      <c r="C6" s="230" t="s">
        <v>1068</v>
      </c>
    </row>
    <row r="7" spans="1:3" ht="17">
      <c r="A7" s="16" t="s">
        <v>481</v>
      </c>
      <c r="B7" s="231" t="s">
        <v>1069</v>
      </c>
      <c r="C7" s="232" t="s">
        <v>1069</v>
      </c>
    </row>
    <row r="8" spans="1:3" ht="17">
      <c r="A8" s="16" t="s">
        <v>538</v>
      </c>
      <c r="B8" s="231" t="s">
        <v>1070</v>
      </c>
      <c r="C8" s="232" t="s">
        <v>1052</v>
      </c>
    </row>
    <row r="9" spans="1:3" ht="17">
      <c r="A9" s="16" t="s">
        <v>539</v>
      </c>
      <c r="B9" s="231" t="s">
        <v>1071</v>
      </c>
      <c r="C9" s="232" t="s">
        <v>1071</v>
      </c>
    </row>
    <row r="10" spans="1:3" ht="17">
      <c r="A10" s="79" t="s">
        <v>540</v>
      </c>
      <c r="B10" s="233" t="s">
        <v>1056</v>
      </c>
      <c r="C10" s="234" t="s">
        <v>1056</v>
      </c>
    </row>
    <row r="11" spans="1:3" ht="17">
      <c r="A11" s="16" t="s">
        <v>541</v>
      </c>
      <c r="B11" s="231" t="s">
        <v>1072</v>
      </c>
      <c r="C11" s="232" t="s">
        <v>1073</v>
      </c>
    </row>
    <row r="12" spans="1:3" ht="17">
      <c r="A12" s="16" t="s">
        <v>542</v>
      </c>
      <c r="B12" s="231" t="s">
        <v>1070</v>
      </c>
      <c r="C12" s="232" t="s">
        <v>1070</v>
      </c>
    </row>
    <row r="13" spans="1:3" ht="17">
      <c r="A13" s="16" t="s">
        <v>543</v>
      </c>
      <c r="B13" s="231" t="s">
        <v>1074</v>
      </c>
      <c r="C13" s="232" t="s">
        <v>1075</v>
      </c>
    </row>
    <row r="14" spans="1:3" ht="17">
      <c r="A14" s="124" t="s">
        <v>544</v>
      </c>
      <c r="B14" s="235" t="s">
        <v>1056</v>
      </c>
      <c r="C14" s="236" t="s">
        <v>1056</v>
      </c>
    </row>
    <row r="15" spans="1:3" ht="16">
      <c r="A15" s="363" t="s">
        <v>242</v>
      </c>
      <c r="B15" s="363"/>
      <c r="C15" s="363"/>
    </row>
  </sheetData>
  <mergeCells count="4">
    <mergeCell ref="A2:C2"/>
    <mergeCell ref="A3:C3"/>
    <mergeCell ref="A15:C15"/>
    <mergeCell ref="A4:C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1"/>
  <sheetViews>
    <sheetView showRuler="0" zoomScaleNormal="100" workbookViewId="0">
      <selection activeCell="A2" sqref="A2:B2"/>
    </sheetView>
  </sheetViews>
  <sheetFormatPr baseColWidth="10" defaultColWidth="12.83203125" defaultRowHeight="13"/>
  <cols>
    <col min="1" max="1" width="31.5" customWidth="1"/>
    <col min="2" max="2" width="88.5" customWidth="1"/>
  </cols>
  <sheetData>
    <row r="1" spans="1:2" ht="14">
      <c r="A1" s="239" t="str">
        <f>HYPERLINK("#'Index'!A1","Back to index")</f>
        <v>Back to index</v>
      </c>
    </row>
    <row r="2" spans="1:2" ht="24" customHeight="1">
      <c r="A2" s="310" t="s">
        <v>49</v>
      </c>
      <c r="B2" s="311"/>
    </row>
    <row r="3" spans="1:2" ht="22" customHeight="1">
      <c r="A3" s="312" t="s">
        <v>2</v>
      </c>
      <c r="B3" s="311"/>
    </row>
    <row r="4" spans="1:2">
      <c r="A4" s="323"/>
      <c r="B4" s="323"/>
    </row>
    <row r="5" spans="1:2" ht="17">
      <c r="A5" s="243" t="s">
        <v>94</v>
      </c>
      <c r="B5" s="5" t="s">
        <v>95</v>
      </c>
    </row>
    <row r="6" spans="1:2" ht="34" customHeight="1">
      <c r="A6" s="317" t="s">
        <v>96</v>
      </c>
      <c r="B6" s="6" t="s">
        <v>97</v>
      </c>
    </row>
    <row r="7" spans="1:2" ht="35.75" customHeight="1">
      <c r="A7" s="318"/>
      <c r="B7" s="7" t="s">
        <v>98</v>
      </c>
    </row>
    <row r="8" spans="1:2" ht="34">
      <c r="A8" s="8" t="s">
        <v>99</v>
      </c>
      <c r="B8" s="7" t="s">
        <v>100</v>
      </c>
    </row>
    <row r="9" spans="1:2" ht="19" customHeight="1">
      <c r="A9" s="8" t="s">
        <v>101</v>
      </c>
      <c r="B9" s="7" t="s">
        <v>102</v>
      </c>
    </row>
    <row r="10" spans="1:2" ht="20" customHeight="1">
      <c r="A10" s="9" t="s">
        <v>103</v>
      </c>
      <c r="B10" s="7" t="s">
        <v>104</v>
      </c>
    </row>
    <row r="11" spans="1:2" ht="34">
      <c r="A11" s="10"/>
      <c r="B11" s="7" t="s">
        <v>105</v>
      </c>
    </row>
    <row r="12" spans="1:2" ht="34">
      <c r="A12" s="8" t="s">
        <v>106</v>
      </c>
      <c r="B12" s="7" t="s">
        <v>107</v>
      </c>
    </row>
    <row r="13" spans="1:2" ht="34">
      <c r="A13" s="9" t="s">
        <v>108</v>
      </c>
      <c r="B13" s="7" t="s">
        <v>109</v>
      </c>
    </row>
    <row r="14" spans="1:2" ht="18" customHeight="1">
      <c r="A14" s="10"/>
      <c r="B14" s="7" t="s">
        <v>110</v>
      </c>
    </row>
    <row r="15" spans="1:2" ht="34">
      <c r="A15" s="8" t="s">
        <v>111</v>
      </c>
      <c r="B15" s="7" t="s">
        <v>112</v>
      </c>
    </row>
    <row r="16" spans="1:2" ht="35.75" customHeight="1">
      <c r="A16" s="319" t="s">
        <v>113</v>
      </c>
      <c r="B16" s="7" t="s">
        <v>114</v>
      </c>
    </row>
    <row r="17" spans="1:2" ht="18" customHeight="1">
      <c r="A17" s="320"/>
      <c r="B17" s="7" t="s">
        <v>115</v>
      </c>
    </row>
    <row r="18" spans="1:2" ht="34" customHeight="1">
      <c r="A18" s="318"/>
      <c r="B18" s="7" t="s">
        <v>116</v>
      </c>
    </row>
    <row r="19" spans="1:2" ht="17">
      <c r="A19" s="321" t="s">
        <v>117</v>
      </c>
      <c r="B19" s="7" t="s">
        <v>118</v>
      </c>
    </row>
    <row r="20" spans="1:2" ht="17">
      <c r="A20" s="322"/>
      <c r="B20" s="11" t="s">
        <v>119</v>
      </c>
    </row>
    <row r="21" spans="1:2">
      <c r="A21" s="12" t="s">
        <v>120</v>
      </c>
      <c r="B21" s="12"/>
    </row>
  </sheetData>
  <mergeCells count="6">
    <mergeCell ref="A2:B2"/>
    <mergeCell ref="A3:B3"/>
    <mergeCell ref="A6:A7"/>
    <mergeCell ref="A16:A18"/>
    <mergeCell ref="A19:A20"/>
    <mergeCell ref="A4:B4"/>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23"/>
  <sheetViews>
    <sheetView showRuler="0" workbookViewId="0">
      <selection activeCell="A2" sqref="A2:G2"/>
    </sheetView>
  </sheetViews>
  <sheetFormatPr baseColWidth="10" defaultColWidth="12.83203125" defaultRowHeight="13"/>
  <cols>
    <col min="1" max="1" width="56.5" customWidth="1"/>
    <col min="2" max="2" width="18" customWidth="1"/>
    <col min="3" max="3" width="18.33203125" customWidth="1"/>
    <col min="4" max="5" width="18" customWidth="1"/>
    <col min="6" max="6" width="18.33203125" customWidth="1"/>
    <col min="7" max="7" width="18" customWidth="1"/>
  </cols>
  <sheetData>
    <row r="1" spans="1:7" ht="14">
      <c r="A1" s="239" t="str">
        <f>HYPERLINK("#'Index'!A1","Back to index")</f>
        <v>Back to index</v>
      </c>
    </row>
    <row r="2" spans="1:7" ht="25" customHeight="1">
      <c r="A2" s="310" t="s">
        <v>49</v>
      </c>
      <c r="B2" s="311"/>
      <c r="C2" s="311"/>
      <c r="D2" s="311"/>
      <c r="E2" s="311"/>
      <c r="F2" s="311"/>
      <c r="G2" s="311"/>
    </row>
    <row r="3" spans="1:7" ht="22.5" customHeight="1">
      <c r="A3" s="312" t="s">
        <v>18</v>
      </c>
      <c r="B3" s="311"/>
      <c r="C3" s="311"/>
      <c r="D3" s="311"/>
      <c r="E3" s="311"/>
      <c r="F3" s="311"/>
      <c r="G3" s="311"/>
    </row>
    <row r="4" spans="1:7">
      <c r="A4" s="323"/>
      <c r="B4" s="323"/>
      <c r="C4" s="323"/>
      <c r="D4" s="323"/>
      <c r="E4" s="323"/>
      <c r="F4" s="323"/>
      <c r="G4" s="323"/>
    </row>
    <row r="5" spans="1:7" ht="22.5" customHeight="1">
      <c r="A5" s="96"/>
      <c r="B5" s="389" t="s">
        <v>478</v>
      </c>
      <c r="C5" s="389"/>
      <c r="D5" s="389"/>
      <c r="E5" s="348" t="s">
        <v>479</v>
      </c>
      <c r="F5" s="349"/>
      <c r="G5" s="349"/>
    </row>
    <row r="6" spans="1:7" ht="34">
      <c r="A6" s="5" t="s">
        <v>529</v>
      </c>
      <c r="B6" s="93" t="s">
        <v>503</v>
      </c>
      <c r="C6" s="93" t="s">
        <v>504</v>
      </c>
      <c r="D6" s="93" t="s">
        <v>505</v>
      </c>
      <c r="E6" s="94" t="s">
        <v>503</v>
      </c>
      <c r="F6" s="94" t="s">
        <v>504</v>
      </c>
      <c r="G6" s="94" t="s">
        <v>505</v>
      </c>
    </row>
    <row r="7" spans="1:7" ht="17">
      <c r="A7" s="33" t="s">
        <v>545</v>
      </c>
      <c r="B7" s="101"/>
      <c r="C7" s="101"/>
      <c r="D7" s="101"/>
      <c r="E7" s="105"/>
      <c r="F7" s="105"/>
      <c r="G7" s="105"/>
    </row>
    <row r="8" spans="1:7" ht="17">
      <c r="A8" s="16" t="s">
        <v>546</v>
      </c>
      <c r="B8" s="55">
        <v>3527</v>
      </c>
      <c r="C8" s="55">
        <v>-26</v>
      </c>
      <c r="D8" s="55">
        <v>3501</v>
      </c>
      <c r="E8" s="77">
        <v>3051</v>
      </c>
      <c r="F8" s="77">
        <v>-29</v>
      </c>
      <c r="G8" s="77">
        <v>3022</v>
      </c>
    </row>
    <row r="9" spans="1:7" ht="17">
      <c r="A9" s="16" t="s">
        <v>547</v>
      </c>
      <c r="B9" s="55">
        <v>29</v>
      </c>
      <c r="C9" s="55">
        <v>2</v>
      </c>
      <c r="D9" s="55">
        <v>31</v>
      </c>
      <c r="E9" s="77">
        <v>18</v>
      </c>
      <c r="F9" s="77">
        <v>2</v>
      </c>
      <c r="G9" s="77">
        <v>20</v>
      </c>
    </row>
    <row r="10" spans="1:7" ht="17">
      <c r="A10" s="16" t="s">
        <v>548</v>
      </c>
      <c r="B10" s="55">
        <v>39</v>
      </c>
      <c r="C10" s="55">
        <v>0</v>
      </c>
      <c r="D10" s="55">
        <v>39</v>
      </c>
      <c r="E10" s="77">
        <v>37</v>
      </c>
      <c r="F10" s="77">
        <v>-1</v>
      </c>
      <c r="G10" s="77">
        <v>36</v>
      </c>
    </row>
    <row r="11" spans="1:7" ht="17">
      <c r="A11" s="16" t="s">
        <v>549</v>
      </c>
      <c r="B11" s="55">
        <v>4012</v>
      </c>
      <c r="C11" s="55">
        <v>-1832</v>
      </c>
      <c r="D11" s="55">
        <v>2180</v>
      </c>
      <c r="E11" s="77">
        <v>3546</v>
      </c>
      <c r="F11" s="77">
        <v>-1458</v>
      </c>
      <c r="G11" s="77">
        <v>2087</v>
      </c>
    </row>
    <row r="12" spans="1:7" ht="17">
      <c r="A12" s="16" t="s">
        <v>550</v>
      </c>
      <c r="B12" s="55">
        <v>911</v>
      </c>
      <c r="C12" s="55">
        <v>-2</v>
      </c>
      <c r="D12" s="55">
        <v>909</v>
      </c>
      <c r="E12" s="77">
        <v>872</v>
      </c>
      <c r="F12" s="77">
        <v>-11</v>
      </c>
      <c r="G12" s="77">
        <v>861</v>
      </c>
    </row>
    <row r="13" spans="1:7" ht="17">
      <c r="A13" s="16" t="s">
        <v>551</v>
      </c>
      <c r="B13" s="55">
        <v>319</v>
      </c>
      <c r="C13" s="55">
        <v>0</v>
      </c>
      <c r="D13" s="55">
        <v>319</v>
      </c>
      <c r="E13" s="77">
        <v>322</v>
      </c>
      <c r="F13" s="77">
        <v>0</v>
      </c>
      <c r="G13" s="77">
        <v>322</v>
      </c>
    </row>
    <row r="14" spans="1:7" ht="17">
      <c r="A14" s="79" t="s">
        <v>552</v>
      </c>
      <c r="B14" s="135">
        <v>8838</v>
      </c>
      <c r="C14" s="135">
        <v>-1859</v>
      </c>
      <c r="D14" s="135">
        <v>6980</v>
      </c>
      <c r="E14" s="136">
        <v>7846</v>
      </c>
      <c r="F14" s="136">
        <v>-1497</v>
      </c>
      <c r="G14" s="136">
        <v>6349</v>
      </c>
    </row>
    <row r="15" spans="1:7" ht="17">
      <c r="A15" s="79" t="s">
        <v>553</v>
      </c>
      <c r="B15" s="43"/>
      <c r="C15" s="43"/>
      <c r="D15" s="43"/>
      <c r="E15" s="107"/>
      <c r="F15" s="107"/>
      <c r="G15" s="107"/>
    </row>
    <row r="16" spans="1:7" ht="17">
      <c r="A16" s="16" t="s">
        <v>554</v>
      </c>
      <c r="B16" s="55">
        <v>5015</v>
      </c>
      <c r="C16" s="55">
        <v>-1283</v>
      </c>
      <c r="D16" s="55">
        <v>3732</v>
      </c>
      <c r="E16" s="77">
        <v>4556</v>
      </c>
      <c r="F16" s="77">
        <v>-1004</v>
      </c>
      <c r="G16" s="77">
        <v>3552</v>
      </c>
    </row>
    <row r="17" spans="1:7" ht="17">
      <c r="A17" s="16" t="s">
        <v>555</v>
      </c>
      <c r="B17" s="55">
        <v>681</v>
      </c>
      <c r="C17" s="55">
        <v>-505</v>
      </c>
      <c r="D17" s="55">
        <v>176</v>
      </c>
      <c r="E17" s="77">
        <v>570</v>
      </c>
      <c r="F17" s="77">
        <v>-410</v>
      </c>
      <c r="G17" s="77">
        <v>158</v>
      </c>
    </row>
    <row r="18" spans="1:7" ht="17">
      <c r="A18" s="16" t="s">
        <v>556</v>
      </c>
      <c r="B18" s="55">
        <v>183</v>
      </c>
      <c r="C18" s="55">
        <v>0</v>
      </c>
      <c r="D18" s="55">
        <v>183</v>
      </c>
      <c r="E18" s="77">
        <v>189</v>
      </c>
      <c r="F18" s="77">
        <v>0</v>
      </c>
      <c r="G18" s="77">
        <v>189</v>
      </c>
    </row>
    <row r="19" spans="1:7" ht="17">
      <c r="A19" s="16" t="s">
        <v>557</v>
      </c>
      <c r="B19" s="55">
        <v>587</v>
      </c>
      <c r="C19" s="55">
        <v>-70</v>
      </c>
      <c r="D19" s="55">
        <v>517</v>
      </c>
      <c r="E19" s="77">
        <v>323</v>
      </c>
      <c r="F19" s="77">
        <v>-81</v>
      </c>
      <c r="G19" s="77">
        <v>243</v>
      </c>
    </row>
    <row r="20" spans="1:7" ht="17">
      <c r="A20" s="16" t="s">
        <v>558</v>
      </c>
      <c r="B20" s="55">
        <v>72</v>
      </c>
      <c r="C20" s="55">
        <v>0</v>
      </c>
      <c r="D20" s="55">
        <v>72</v>
      </c>
      <c r="E20" s="77">
        <v>73</v>
      </c>
      <c r="F20" s="77">
        <v>0</v>
      </c>
      <c r="G20" s="77">
        <v>73</v>
      </c>
    </row>
    <row r="21" spans="1:7" ht="17">
      <c r="A21" s="16" t="s">
        <v>559</v>
      </c>
      <c r="B21" s="55">
        <v>2300</v>
      </c>
      <c r="C21" s="55">
        <v>-1</v>
      </c>
      <c r="D21" s="55">
        <v>2299</v>
      </c>
      <c r="E21" s="77">
        <v>2135</v>
      </c>
      <c r="F21" s="77">
        <v>-2</v>
      </c>
      <c r="G21" s="77">
        <v>2133</v>
      </c>
    </row>
    <row r="22" spans="1:7" ht="17">
      <c r="A22" s="124" t="s">
        <v>560</v>
      </c>
      <c r="B22" s="144">
        <v>8838</v>
      </c>
      <c r="C22" s="144">
        <v>-1859</v>
      </c>
      <c r="D22" s="144">
        <v>6980</v>
      </c>
      <c r="E22" s="82">
        <v>7846</v>
      </c>
      <c r="F22" s="82">
        <v>-1497</v>
      </c>
      <c r="G22" s="82">
        <v>6349</v>
      </c>
    </row>
    <row r="23" spans="1:7" ht="20" customHeight="1">
      <c r="A23" s="373" t="s">
        <v>1172</v>
      </c>
      <c r="B23" s="373"/>
      <c r="C23" s="373"/>
      <c r="D23" s="373"/>
      <c r="E23" s="373"/>
      <c r="F23" s="373"/>
      <c r="G23" s="373"/>
    </row>
  </sheetData>
  <mergeCells count="6">
    <mergeCell ref="A2:G2"/>
    <mergeCell ref="A3:G3"/>
    <mergeCell ref="B5:D5"/>
    <mergeCell ref="E5:G5"/>
    <mergeCell ref="A23:G23"/>
    <mergeCell ref="A4:G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C19"/>
  <sheetViews>
    <sheetView showRuler="0" workbookViewId="0">
      <selection activeCell="A2" sqref="A2:C2"/>
    </sheetView>
  </sheetViews>
  <sheetFormatPr baseColWidth="10" defaultColWidth="12.83203125" defaultRowHeight="13"/>
  <cols>
    <col min="1" max="1" width="72.83203125" customWidth="1"/>
    <col min="2" max="10" width="16.83203125" customWidth="1"/>
  </cols>
  <sheetData>
    <row r="1" spans="1:3" ht="14">
      <c r="A1" s="239" t="str">
        <f>HYPERLINK("#'Index'!A1","Back to index")</f>
        <v>Back to index</v>
      </c>
    </row>
    <row r="2" spans="1:3" ht="25" customHeight="1">
      <c r="A2" s="310" t="s">
        <v>49</v>
      </c>
      <c r="B2" s="311"/>
      <c r="C2" s="311"/>
    </row>
    <row r="3" spans="1:3" ht="22.5" customHeight="1">
      <c r="A3" s="312" t="s">
        <v>19</v>
      </c>
      <c r="B3" s="311"/>
      <c r="C3" s="311"/>
    </row>
    <row r="4" spans="1:3">
      <c r="A4" s="323"/>
      <c r="B4" s="323"/>
      <c r="C4" s="323"/>
    </row>
    <row r="5" spans="1:3" ht="22.5" customHeight="1">
      <c r="A5" s="5" t="s">
        <v>529</v>
      </c>
      <c r="B5" s="29" t="s">
        <v>478</v>
      </c>
      <c r="C5" s="28" t="s">
        <v>479</v>
      </c>
    </row>
    <row r="6" spans="1:3" ht="17">
      <c r="A6" s="14" t="s">
        <v>561</v>
      </c>
      <c r="B6" s="53">
        <v>3492</v>
      </c>
      <c r="C6" s="75">
        <v>3011</v>
      </c>
    </row>
    <row r="7" spans="1:3" ht="17">
      <c r="A7" s="16" t="s">
        <v>549</v>
      </c>
      <c r="B7" s="55">
        <v>2180</v>
      </c>
      <c r="C7" s="77">
        <v>2087</v>
      </c>
    </row>
    <row r="8" spans="1:3" ht="17">
      <c r="A8" s="16" t="s">
        <v>562</v>
      </c>
      <c r="B8" s="55">
        <v>618</v>
      </c>
      <c r="C8" s="77">
        <v>628</v>
      </c>
    </row>
    <row r="9" spans="1:3" ht="17">
      <c r="A9" s="16" t="s">
        <v>563</v>
      </c>
      <c r="B9" s="55">
        <v>360</v>
      </c>
      <c r="C9" s="77">
        <v>289</v>
      </c>
    </row>
    <row r="10" spans="1:3" ht="17">
      <c r="A10" s="16" t="s">
        <v>484</v>
      </c>
      <c r="B10" s="55">
        <v>-1790</v>
      </c>
      <c r="C10" s="77">
        <v>-1584</v>
      </c>
    </row>
    <row r="11" spans="1:3" ht="17">
      <c r="A11" s="16" t="s">
        <v>485</v>
      </c>
      <c r="B11" s="55">
        <v>-772</v>
      </c>
      <c r="C11" s="77">
        <v>-691</v>
      </c>
    </row>
    <row r="12" spans="1:3" ht="17">
      <c r="A12" s="79" t="s">
        <v>564</v>
      </c>
      <c r="B12" s="135">
        <v>4090</v>
      </c>
      <c r="C12" s="136">
        <v>3741</v>
      </c>
    </row>
    <row r="13" spans="1:3" ht="17">
      <c r="A13" s="16" t="s">
        <v>565</v>
      </c>
      <c r="B13" s="55">
        <v>355</v>
      </c>
      <c r="C13" s="77">
        <v>413</v>
      </c>
    </row>
    <row r="14" spans="1:3" ht="17">
      <c r="A14" s="16" t="s">
        <v>566</v>
      </c>
      <c r="B14" s="55">
        <v>3</v>
      </c>
      <c r="C14" s="77">
        <v>-3</v>
      </c>
    </row>
    <row r="15" spans="1:3" ht="17">
      <c r="A15" s="79" t="s">
        <v>1169</v>
      </c>
      <c r="B15" s="135">
        <v>358</v>
      </c>
      <c r="C15" s="136">
        <v>411</v>
      </c>
    </row>
    <row r="16" spans="1:3" ht="17">
      <c r="A16" s="16" t="s">
        <v>567</v>
      </c>
      <c r="B16" s="55">
        <v>3</v>
      </c>
      <c r="C16" s="77">
        <v>20</v>
      </c>
    </row>
    <row r="17" spans="1:3" ht="17">
      <c r="A17" s="79" t="s">
        <v>568</v>
      </c>
      <c r="B17" s="135">
        <v>360</v>
      </c>
      <c r="C17" s="136">
        <v>430</v>
      </c>
    </row>
    <row r="18" spans="1:3" ht="17">
      <c r="A18" s="124" t="s">
        <v>569</v>
      </c>
      <c r="B18" s="145">
        <v>8.8000000000000009E-2</v>
      </c>
      <c r="C18" s="146">
        <v>0.115</v>
      </c>
    </row>
    <row r="19" spans="1:3" ht="16">
      <c r="A19" s="365" t="s">
        <v>242</v>
      </c>
      <c r="B19" s="365"/>
      <c r="C19" s="365"/>
    </row>
  </sheetData>
  <mergeCells count="4">
    <mergeCell ref="A2:C2"/>
    <mergeCell ref="A3:C3"/>
    <mergeCell ref="A19:C19"/>
    <mergeCell ref="A4:C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C7"/>
  <sheetViews>
    <sheetView showRuler="0" workbookViewId="0">
      <selection activeCell="A2" sqref="A2:C2"/>
    </sheetView>
  </sheetViews>
  <sheetFormatPr baseColWidth="10" defaultColWidth="12.83203125" defaultRowHeight="13"/>
  <cols>
    <col min="1" max="1" width="56.5" customWidth="1"/>
    <col min="2" max="3" width="16.83203125" customWidth="1"/>
  </cols>
  <sheetData>
    <row r="1" spans="1:3" ht="14">
      <c r="A1" s="239" t="str">
        <f>HYPERLINK("#'Index'!A1","Back to index")</f>
        <v>Back to index</v>
      </c>
    </row>
    <row r="2" spans="1:3" ht="26" customHeight="1">
      <c r="A2" s="310" t="s">
        <v>49</v>
      </c>
      <c r="B2" s="311"/>
      <c r="C2" s="311"/>
    </row>
    <row r="3" spans="1:3" ht="22.5" customHeight="1">
      <c r="A3" s="312" t="s">
        <v>20</v>
      </c>
      <c r="B3" s="311"/>
      <c r="C3" s="311"/>
    </row>
    <row r="5" spans="1:3" ht="22.5" customHeight="1">
      <c r="B5" s="29" t="s">
        <v>478</v>
      </c>
      <c r="C5" s="28" t="s">
        <v>479</v>
      </c>
    </row>
    <row r="6" spans="1:3" ht="17">
      <c r="A6" s="147" t="s">
        <v>570</v>
      </c>
      <c r="B6" s="148">
        <v>0.4</v>
      </c>
      <c r="C6" s="149">
        <v>0.1</v>
      </c>
    </row>
    <row r="7" spans="1:3" ht="20" customHeight="1">
      <c r="A7" s="373" t="s">
        <v>1173</v>
      </c>
      <c r="B7" s="373"/>
      <c r="C7" s="373"/>
    </row>
  </sheetData>
  <mergeCells count="3">
    <mergeCell ref="A2:C2"/>
    <mergeCell ref="A3:C3"/>
    <mergeCell ref="A7:C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C14"/>
  <sheetViews>
    <sheetView showRuler="0" workbookViewId="0">
      <selection activeCell="A2" sqref="A2:C2"/>
    </sheetView>
  </sheetViews>
  <sheetFormatPr baseColWidth="10" defaultColWidth="12.83203125" defaultRowHeight="13"/>
  <cols>
    <col min="1" max="1" width="64.6640625" customWidth="1"/>
    <col min="2" max="2" width="18.33203125" customWidth="1"/>
    <col min="3" max="3" width="17.6640625" customWidth="1"/>
    <col min="4" max="4" width="16.83203125" customWidth="1"/>
  </cols>
  <sheetData>
    <row r="1" spans="1:3" ht="14">
      <c r="A1" s="239" t="str">
        <f>HYPERLINK("#'Index'!A1","Back to index")</f>
        <v>Back to index</v>
      </c>
    </row>
    <row r="2" spans="1:3" ht="25" customHeight="1">
      <c r="A2" s="310" t="s">
        <v>49</v>
      </c>
      <c r="B2" s="311"/>
      <c r="C2" s="311"/>
    </row>
    <row r="3" spans="1:3" ht="22.5" customHeight="1">
      <c r="A3" s="312" t="s">
        <v>571</v>
      </c>
      <c r="B3" s="311"/>
      <c r="C3" s="311"/>
    </row>
    <row r="4" spans="1:3">
      <c r="A4" s="323"/>
      <c r="B4" s="323"/>
      <c r="C4" s="323"/>
    </row>
    <row r="5" spans="1:3" ht="33.25" customHeight="1">
      <c r="A5" s="5" t="s">
        <v>529</v>
      </c>
      <c r="B5" s="29" t="s">
        <v>572</v>
      </c>
      <c r="C5" s="28" t="s">
        <v>573</v>
      </c>
    </row>
    <row r="6" spans="1:3" ht="17">
      <c r="A6" s="14" t="s">
        <v>574</v>
      </c>
      <c r="B6" s="53">
        <v>677</v>
      </c>
      <c r="C6" s="75">
        <v>537</v>
      </c>
    </row>
    <row r="7" spans="1:3" ht="17">
      <c r="A7" s="16" t="s">
        <v>575</v>
      </c>
      <c r="B7" s="55">
        <v>-754</v>
      </c>
      <c r="C7" s="77">
        <v>-726</v>
      </c>
    </row>
    <row r="8" spans="1:3" ht="17">
      <c r="A8" s="16" t="s">
        <v>576</v>
      </c>
      <c r="B8" s="55">
        <v>-17</v>
      </c>
      <c r="C8" s="77">
        <v>-30</v>
      </c>
    </row>
    <row r="9" spans="1:3" ht="17">
      <c r="A9" s="16" t="s">
        <v>577</v>
      </c>
      <c r="B9" s="55">
        <v>-66</v>
      </c>
      <c r="C9" s="77">
        <v>-61</v>
      </c>
    </row>
    <row r="10" spans="1:3" ht="17">
      <c r="A10" s="79" t="s">
        <v>578</v>
      </c>
      <c r="B10" s="135">
        <v>-160</v>
      </c>
      <c r="C10" s="136">
        <v>-280</v>
      </c>
    </row>
    <row r="11" spans="1:3" ht="17">
      <c r="A11" s="16" t="s">
        <v>579</v>
      </c>
      <c r="B11" s="55">
        <v>157</v>
      </c>
      <c r="C11" s="77">
        <v>109</v>
      </c>
    </row>
    <row r="12" spans="1:3" ht="17">
      <c r="A12" s="79" t="s">
        <v>580</v>
      </c>
      <c r="B12" s="135">
        <v>-4</v>
      </c>
      <c r="C12" s="136">
        <v>-171</v>
      </c>
    </row>
    <row r="13" spans="1:3" ht="17">
      <c r="A13" s="124" t="s">
        <v>581</v>
      </c>
      <c r="B13" s="144">
        <v>319</v>
      </c>
      <c r="C13" s="82">
        <v>322</v>
      </c>
    </row>
    <row r="14" spans="1:3" ht="22.5" customHeight="1">
      <c r="A14" s="373"/>
      <c r="B14" s="373"/>
      <c r="C14" s="373"/>
    </row>
  </sheetData>
  <mergeCells count="4">
    <mergeCell ref="A2:C2"/>
    <mergeCell ref="A3:C3"/>
    <mergeCell ref="A14:C14"/>
    <mergeCell ref="A4:C4"/>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C9"/>
  <sheetViews>
    <sheetView showRuler="0" workbookViewId="0">
      <selection activeCell="A2" sqref="A2:C2"/>
    </sheetView>
  </sheetViews>
  <sheetFormatPr baseColWidth="10" defaultColWidth="12.83203125" defaultRowHeight="13"/>
  <cols>
    <col min="1" max="1" width="56.5" customWidth="1"/>
    <col min="2" max="3" width="16.83203125" customWidth="1"/>
  </cols>
  <sheetData>
    <row r="1" spans="1:3" ht="14">
      <c r="A1" s="239" t="str">
        <f>HYPERLINK("#'Index'!A1","Back to index")</f>
        <v>Back to index</v>
      </c>
    </row>
    <row r="2" spans="1:3" ht="25" customHeight="1">
      <c r="A2" s="310" t="s">
        <v>49</v>
      </c>
      <c r="B2" s="311"/>
      <c r="C2" s="311"/>
    </row>
    <row r="3" spans="1:3" ht="22.5" customHeight="1">
      <c r="A3" s="312" t="s">
        <v>21</v>
      </c>
      <c r="B3" s="311"/>
      <c r="C3" s="311"/>
    </row>
    <row r="4" spans="1:3">
      <c r="A4" s="323"/>
      <c r="B4" s="323"/>
      <c r="C4" s="323"/>
    </row>
    <row r="5" spans="1:3" ht="22.5" customHeight="1">
      <c r="A5" s="5" t="s">
        <v>529</v>
      </c>
      <c r="B5" s="29" t="s">
        <v>478</v>
      </c>
      <c r="C5" s="28" t="s">
        <v>479</v>
      </c>
    </row>
    <row r="6" spans="1:3" ht="17">
      <c r="A6" s="14" t="s">
        <v>551</v>
      </c>
      <c r="B6" s="53">
        <v>319</v>
      </c>
      <c r="C6" s="75">
        <v>322</v>
      </c>
    </row>
    <row r="7" spans="1:3" ht="17">
      <c r="A7" s="16" t="s">
        <v>582</v>
      </c>
      <c r="B7" s="55">
        <v>542</v>
      </c>
      <c r="C7" s="77">
        <v>383</v>
      </c>
    </row>
    <row r="8" spans="1:3" ht="17">
      <c r="A8" s="124" t="s">
        <v>583</v>
      </c>
      <c r="B8" s="144">
        <v>-222</v>
      </c>
      <c r="C8" s="82">
        <v>-61</v>
      </c>
    </row>
    <row r="9" spans="1:3" ht="16">
      <c r="A9" s="363" t="s">
        <v>242</v>
      </c>
      <c r="B9" s="363"/>
      <c r="C9" s="363"/>
    </row>
  </sheetData>
  <mergeCells count="4">
    <mergeCell ref="A2:C2"/>
    <mergeCell ref="A3:C3"/>
    <mergeCell ref="A9:C9"/>
    <mergeCell ref="A4:C4"/>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15"/>
  <sheetViews>
    <sheetView showRuler="0" workbookViewId="0">
      <selection activeCell="A2" sqref="A2:C2"/>
    </sheetView>
  </sheetViews>
  <sheetFormatPr baseColWidth="10" defaultColWidth="12.83203125" defaultRowHeight="13"/>
  <cols>
    <col min="1" max="1" width="56.5" customWidth="1"/>
    <col min="2" max="3" width="16.83203125" customWidth="1"/>
  </cols>
  <sheetData>
    <row r="1" spans="1:3" ht="14">
      <c r="A1" s="239" t="str">
        <f>HYPERLINK("#'Index'!A1","Back to index")</f>
        <v>Back to index</v>
      </c>
    </row>
    <row r="2" spans="1:3" ht="25" customHeight="1">
      <c r="A2" s="310" t="s">
        <v>49</v>
      </c>
      <c r="B2" s="311"/>
      <c r="C2" s="311"/>
    </row>
    <row r="3" spans="1:3" ht="22.5" customHeight="1">
      <c r="A3" s="312" t="s">
        <v>1174</v>
      </c>
      <c r="B3" s="311"/>
      <c r="C3" s="311"/>
    </row>
    <row r="4" spans="1:3">
      <c r="A4" s="323"/>
      <c r="B4" s="323"/>
      <c r="C4" s="323"/>
    </row>
    <row r="5" spans="1:3" ht="33.25" customHeight="1">
      <c r="A5" s="5" t="s">
        <v>332</v>
      </c>
      <c r="B5" s="29" t="s">
        <v>584</v>
      </c>
      <c r="C5" s="28" t="s">
        <v>585</v>
      </c>
    </row>
    <row r="6" spans="1:3" ht="17">
      <c r="A6" s="14" t="s">
        <v>586</v>
      </c>
      <c r="B6" s="53">
        <v>6196</v>
      </c>
      <c r="C6" s="75">
        <v>5834</v>
      </c>
    </row>
    <row r="7" spans="1:3" ht="17">
      <c r="A7" s="16" t="s">
        <v>587</v>
      </c>
      <c r="B7" s="55">
        <v>92</v>
      </c>
      <c r="C7" s="77">
        <v>146</v>
      </c>
    </row>
    <row r="8" spans="1:3" ht="17">
      <c r="A8" s="16" t="s">
        <v>588</v>
      </c>
      <c r="B8" s="55">
        <v>-65</v>
      </c>
      <c r="C8" s="77">
        <v>-65</v>
      </c>
    </row>
    <row r="9" spans="1:3" ht="17">
      <c r="A9" s="16" t="s">
        <v>589</v>
      </c>
      <c r="B9" s="55">
        <v>27</v>
      </c>
      <c r="C9" s="77">
        <v>81</v>
      </c>
    </row>
    <row r="10" spans="1:3" ht="17">
      <c r="A10" s="16" t="s">
        <v>217</v>
      </c>
      <c r="B10" s="55">
        <v>13</v>
      </c>
      <c r="C10" s="77">
        <v>79</v>
      </c>
    </row>
    <row r="11" spans="1:3" ht="17">
      <c r="A11" s="16" t="s">
        <v>590</v>
      </c>
      <c r="B11" s="55">
        <v>339</v>
      </c>
      <c r="C11" s="77">
        <v>388</v>
      </c>
    </row>
    <row r="12" spans="1:3" ht="17">
      <c r="A12" s="16" t="s">
        <v>240</v>
      </c>
      <c r="B12" s="150">
        <v>9.0000000000000011E-3</v>
      </c>
      <c r="C12" s="151">
        <v>5.5999999999999994E-2</v>
      </c>
    </row>
    <row r="13" spans="1:3" ht="17">
      <c r="A13" s="16" t="s">
        <v>591</v>
      </c>
      <c r="B13" s="55">
        <v>1628</v>
      </c>
      <c r="C13" s="77">
        <v>1419</v>
      </c>
    </row>
    <row r="14" spans="1:3" ht="17">
      <c r="A14" s="21" t="s">
        <v>592</v>
      </c>
      <c r="B14" s="58">
        <v>1992</v>
      </c>
      <c r="C14" s="152">
        <v>1848</v>
      </c>
    </row>
    <row r="15" spans="1:3" ht="16">
      <c r="A15" s="332"/>
      <c r="B15" s="332"/>
      <c r="C15" s="332"/>
    </row>
  </sheetData>
  <mergeCells count="4">
    <mergeCell ref="A2:C2"/>
    <mergeCell ref="A3:C3"/>
    <mergeCell ref="A15:C15"/>
    <mergeCell ref="A4:C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49"/>
  <sheetViews>
    <sheetView showRuler="0" workbookViewId="0">
      <selection activeCell="A2" sqref="A2:C2"/>
    </sheetView>
  </sheetViews>
  <sheetFormatPr baseColWidth="10" defaultColWidth="12.83203125" defaultRowHeight="13"/>
  <cols>
    <col min="1" max="1" width="56.5" customWidth="1"/>
    <col min="2" max="3" width="16.83203125" customWidth="1"/>
  </cols>
  <sheetData>
    <row r="1" spans="1:3" ht="16.75" customHeight="1">
      <c r="A1" s="239" t="str">
        <f>HYPERLINK("#'Index'!A1","Back to index")</f>
        <v>Back to index</v>
      </c>
    </row>
    <row r="2" spans="1:3" ht="25" customHeight="1">
      <c r="A2" s="310" t="s">
        <v>49</v>
      </c>
      <c r="B2" s="311"/>
      <c r="C2" s="311"/>
    </row>
    <row r="3" spans="1:3" ht="23.25" customHeight="1">
      <c r="A3" s="312" t="s">
        <v>1175</v>
      </c>
      <c r="B3" s="311"/>
      <c r="C3" s="311"/>
    </row>
    <row r="4" spans="1:3" ht="13" customHeight="1">
      <c r="A4" s="323"/>
      <c r="B4" s="323"/>
      <c r="C4" s="323"/>
    </row>
    <row r="5" spans="1:3" ht="33.25" customHeight="1">
      <c r="A5" s="5" t="s">
        <v>332</v>
      </c>
      <c r="B5" s="29" t="s">
        <v>584</v>
      </c>
      <c r="C5" s="28" t="s">
        <v>585</v>
      </c>
    </row>
    <row r="6" spans="1:3" ht="15" customHeight="1">
      <c r="A6" s="14" t="s">
        <v>586</v>
      </c>
      <c r="B6" s="153">
        <v>17958</v>
      </c>
      <c r="C6" s="52">
        <v>17278</v>
      </c>
    </row>
    <row r="7" spans="1:3" ht="15" customHeight="1">
      <c r="A7" s="16" t="s">
        <v>587</v>
      </c>
      <c r="B7" s="154">
        <v>573</v>
      </c>
      <c r="C7" s="54">
        <v>584</v>
      </c>
    </row>
    <row r="8" spans="1:3" ht="15" customHeight="1">
      <c r="A8" s="16" t="s">
        <v>588</v>
      </c>
      <c r="B8" s="155">
        <v>-159</v>
      </c>
      <c r="C8" s="156">
        <v>-141</v>
      </c>
    </row>
    <row r="9" spans="1:3" ht="15" customHeight="1">
      <c r="A9" s="16" t="s">
        <v>589</v>
      </c>
      <c r="B9" s="154">
        <v>415</v>
      </c>
      <c r="C9" s="54">
        <v>443</v>
      </c>
    </row>
    <row r="10" spans="1:3" ht="15" customHeight="1">
      <c r="A10" s="16" t="s">
        <v>593</v>
      </c>
      <c r="B10" s="154">
        <v>446</v>
      </c>
      <c r="C10" s="54">
        <v>458</v>
      </c>
    </row>
    <row r="11" spans="1:3" ht="15" customHeight="1">
      <c r="A11" s="16" t="s">
        <v>590</v>
      </c>
      <c r="B11" s="154">
        <v>431</v>
      </c>
      <c r="C11" s="54">
        <v>467</v>
      </c>
    </row>
    <row r="12" spans="1:3" ht="15" customHeight="1">
      <c r="A12" s="16" t="s">
        <v>240</v>
      </c>
      <c r="B12" s="157">
        <v>0.182</v>
      </c>
      <c r="C12" s="115">
        <v>0.19600000000000001</v>
      </c>
    </row>
    <row r="13" spans="1:3" ht="15" customHeight="1">
      <c r="A13" s="16" t="s">
        <v>591</v>
      </c>
      <c r="B13" s="154">
        <v>2355</v>
      </c>
      <c r="C13" s="54">
        <v>2358</v>
      </c>
    </row>
    <row r="14" spans="1:3" ht="15" customHeight="1">
      <c r="A14" s="21" t="s">
        <v>592</v>
      </c>
      <c r="B14" s="158">
        <v>4377</v>
      </c>
      <c r="C14" s="56">
        <v>4731</v>
      </c>
    </row>
    <row r="15" spans="1:3" ht="15.75" customHeight="1">
      <c r="A15" s="350" t="s">
        <v>594</v>
      </c>
      <c r="B15" s="350"/>
      <c r="C15" s="350"/>
    </row>
    <row r="16" spans="1:3"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sheetData>
  <mergeCells count="4">
    <mergeCell ref="A2:C2"/>
    <mergeCell ref="A3:C3"/>
    <mergeCell ref="A15:C15"/>
    <mergeCell ref="A4:C4"/>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D14"/>
  <sheetViews>
    <sheetView showRuler="0" workbookViewId="0">
      <selection activeCell="A2" sqref="A2:D2"/>
    </sheetView>
  </sheetViews>
  <sheetFormatPr baseColWidth="10" defaultColWidth="12.83203125" defaultRowHeight="13"/>
  <cols>
    <col min="1" max="1" width="56.5" customWidth="1"/>
    <col min="2" max="2" width="8.6640625" customWidth="1"/>
    <col min="3" max="4" width="16.83203125" customWidth="1"/>
  </cols>
  <sheetData>
    <row r="1" spans="1:4" ht="14">
      <c r="A1" s="239" t="str">
        <f>HYPERLINK("#'Index'!A1","Back to index")</f>
        <v>Back to index</v>
      </c>
    </row>
    <row r="2" spans="1:4" ht="25" customHeight="1">
      <c r="A2" s="310" t="s">
        <v>49</v>
      </c>
      <c r="B2" s="311"/>
      <c r="C2" s="311"/>
      <c r="D2" s="311"/>
    </row>
    <row r="3" spans="1:4" ht="22.5" customHeight="1">
      <c r="A3" s="312" t="s">
        <v>22</v>
      </c>
      <c r="B3" s="311"/>
      <c r="C3" s="311"/>
      <c r="D3" s="311"/>
    </row>
    <row r="4" spans="1:4">
      <c r="A4" s="323"/>
      <c r="B4" s="323"/>
      <c r="C4" s="323"/>
      <c r="D4" s="323"/>
    </row>
    <row r="5" spans="1:4" ht="22.5" customHeight="1">
      <c r="A5" s="5"/>
      <c r="B5" s="5"/>
      <c r="C5" s="29" t="s">
        <v>50</v>
      </c>
      <c r="D5" s="28" t="s">
        <v>247</v>
      </c>
    </row>
    <row r="6" spans="1:4" ht="17">
      <c r="A6" s="14" t="s">
        <v>595</v>
      </c>
      <c r="B6" s="14" t="s">
        <v>596</v>
      </c>
      <c r="C6" s="53">
        <v>40</v>
      </c>
      <c r="D6" s="75">
        <v>46</v>
      </c>
    </row>
    <row r="7" spans="1:4" ht="17">
      <c r="A7" s="16" t="s">
        <v>597</v>
      </c>
      <c r="B7" s="16" t="s">
        <v>596</v>
      </c>
      <c r="C7" s="55">
        <v>930</v>
      </c>
      <c r="D7" s="77">
        <v>921</v>
      </c>
    </row>
    <row r="8" spans="1:4" ht="17">
      <c r="A8" s="16" t="s">
        <v>598</v>
      </c>
      <c r="B8" s="16" t="s">
        <v>596</v>
      </c>
      <c r="C8" s="55">
        <v>42031</v>
      </c>
      <c r="D8" s="77">
        <v>39680</v>
      </c>
    </row>
    <row r="9" spans="1:4" ht="17">
      <c r="A9" s="16" t="s">
        <v>599</v>
      </c>
      <c r="B9" s="16" t="s">
        <v>596</v>
      </c>
      <c r="C9" s="55">
        <v>3502</v>
      </c>
      <c r="D9" s="77">
        <v>3527</v>
      </c>
    </row>
    <row r="10" spans="1:4" ht="17">
      <c r="A10" s="16" t="s">
        <v>600</v>
      </c>
      <c r="B10" s="16" t="s">
        <v>596</v>
      </c>
      <c r="C10" s="55">
        <v>7467</v>
      </c>
      <c r="D10" s="77">
        <v>8874</v>
      </c>
    </row>
    <row r="11" spans="1:4" ht="17">
      <c r="A11" s="16" t="s">
        <v>601</v>
      </c>
      <c r="B11" s="16" t="s">
        <v>596</v>
      </c>
      <c r="C11" s="55">
        <v>10219</v>
      </c>
      <c r="D11" s="77">
        <v>12306</v>
      </c>
    </row>
    <row r="12" spans="1:4" ht="17">
      <c r="A12" s="16" t="s">
        <v>471</v>
      </c>
      <c r="B12" s="16" t="s">
        <v>596</v>
      </c>
      <c r="C12" s="55">
        <v>595</v>
      </c>
      <c r="D12" s="77">
        <v>766</v>
      </c>
    </row>
    <row r="13" spans="1:4" ht="17">
      <c r="A13" s="21" t="s">
        <v>602</v>
      </c>
      <c r="B13" s="21" t="s">
        <v>603</v>
      </c>
      <c r="C13" s="58">
        <v>7125</v>
      </c>
      <c r="D13" s="152">
        <v>6478</v>
      </c>
    </row>
    <row r="14" spans="1:4" ht="17">
      <c r="A14" s="32" t="s">
        <v>242</v>
      </c>
      <c r="B14" s="32"/>
      <c r="C14" s="32"/>
      <c r="D14" s="32"/>
    </row>
  </sheetData>
  <mergeCells count="3">
    <mergeCell ref="A2:D2"/>
    <mergeCell ref="A3:D3"/>
    <mergeCell ref="A4:D4"/>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C19"/>
  <sheetViews>
    <sheetView showRuler="0" workbookViewId="0"/>
  </sheetViews>
  <sheetFormatPr baseColWidth="10" defaultColWidth="12.83203125" defaultRowHeight="13"/>
  <cols>
    <col min="1" max="1" width="68" customWidth="1"/>
    <col min="2" max="4" width="16.83203125" customWidth="1"/>
  </cols>
  <sheetData>
    <row r="1" spans="1:3" ht="14">
      <c r="A1" s="239" t="str">
        <f>HYPERLINK("#'Index'!A1","Back to index")</f>
        <v>Back to index</v>
      </c>
    </row>
    <row r="2" spans="1:3" ht="26" customHeight="1">
      <c r="A2" s="310" t="s">
        <v>49</v>
      </c>
      <c r="B2" s="311"/>
      <c r="C2" s="311"/>
    </row>
    <row r="3" spans="1:3" ht="22.5" customHeight="1">
      <c r="A3" s="312" t="s">
        <v>23</v>
      </c>
      <c r="B3" s="311"/>
      <c r="C3" s="311"/>
    </row>
    <row r="4" spans="1:3">
      <c r="A4" s="323"/>
      <c r="B4" s="323"/>
      <c r="C4" s="323"/>
    </row>
    <row r="5" spans="1:3" ht="22.5" customHeight="1">
      <c r="A5" s="5" t="s">
        <v>332</v>
      </c>
      <c r="B5" s="29" t="s">
        <v>50</v>
      </c>
      <c r="C5" s="28" t="s">
        <v>247</v>
      </c>
    </row>
    <row r="6" spans="1:3" ht="17">
      <c r="A6" s="33" t="s">
        <v>506</v>
      </c>
      <c r="B6" s="142">
        <v>13441</v>
      </c>
      <c r="C6" s="143">
        <v>12520</v>
      </c>
    </row>
    <row r="7" spans="1:3" ht="17">
      <c r="A7" s="16" t="s">
        <v>604</v>
      </c>
      <c r="B7" s="55">
        <v>42</v>
      </c>
      <c r="C7" s="77">
        <v>41</v>
      </c>
    </row>
    <row r="8" spans="1:3" ht="17">
      <c r="A8" s="16" t="s">
        <v>509</v>
      </c>
      <c r="B8" s="55">
        <v>81</v>
      </c>
      <c r="C8" s="77">
        <v>129</v>
      </c>
    </row>
    <row r="9" spans="1:3" ht="17">
      <c r="A9" s="16" t="s">
        <v>510</v>
      </c>
      <c r="B9" s="55">
        <v>-12813</v>
      </c>
      <c r="C9" s="77">
        <v>-11984</v>
      </c>
    </row>
    <row r="10" spans="1:3" ht="17">
      <c r="A10" s="79" t="s">
        <v>511</v>
      </c>
      <c r="B10" s="135">
        <v>751</v>
      </c>
      <c r="C10" s="136">
        <v>706</v>
      </c>
    </row>
    <row r="11" spans="1:3" ht="17">
      <c r="A11" s="16" t="s">
        <v>512</v>
      </c>
      <c r="B11" s="55">
        <v>-340</v>
      </c>
      <c r="C11" s="77">
        <v>-326</v>
      </c>
    </row>
    <row r="12" spans="1:3" ht="34">
      <c r="A12" s="16" t="s">
        <v>605</v>
      </c>
      <c r="B12" s="55">
        <v>-89</v>
      </c>
      <c r="C12" s="77">
        <v>-75</v>
      </c>
    </row>
    <row r="13" spans="1:3" ht="17">
      <c r="A13" s="16" t="s">
        <v>514</v>
      </c>
      <c r="B13" s="55">
        <v>-216</v>
      </c>
      <c r="C13" s="77">
        <v>-267</v>
      </c>
    </row>
    <row r="14" spans="1:3" ht="17">
      <c r="A14" s="79" t="s">
        <v>515</v>
      </c>
      <c r="B14" s="135">
        <v>106</v>
      </c>
      <c r="C14" s="136">
        <v>38</v>
      </c>
    </row>
    <row r="15" spans="1:3" ht="17">
      <c r="A15" s="16" t="s">
        <v>488</v>
      </c>
      <c r="B15" s="55">
        <v>88</v>
      </c>
      <c r="C15" s="77">
        <v>100</v>
      </c>
    </row>
    <row r="16" spans="1:3" ht="17">
      <c r="A16" s="79" t="s">
        <v>606</v>
      </c>
      <c r="B16" s="135">
        <v>194</v>
      </c>
      <c r="C16" s="136">
        <v>139</v>
      </c>
    </row>
    <row r="17" spans="1:3" ht="17">
      <c r="A17" s="16" t="s">
        <v>607</v>
      </c>
      <c r="B17" s="55">
        <v>-33</v>
      </c>
      <c r="C17" s="77">
        <v>-1</v>
      </c>
    </row>
    <row r="18" spans="1:3" ht="17">
      <c r="A18" s="99" t="s">
        <v>608</v>
      </c>
      <c r="B18" s="159">
        <v>161</v>
      </c>
      <c r="C18" s="160">
        <v>138</v>
      </c>
    </row>
    <row r="19" spans="1:3" ht="16">
      <c r="A19" s="363" t="s">
        <v>242</v>
      </c>
      <c r="B19" s="363"/>
      <c r="C19" s="363"/>
    </row>
  </sheetData>
  <mergeCells count="4">
    <mergeCell ref="A2:C2"/>
    <mergeCell ref="A3:C3"/>
    <mergeCell ref="A19:C19"/>
    <mergeCell ref="A4:C4"/>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C15"/>
  <sheetViews>
    <sheetView showRuler="0" workbookViewId="0">
      <selection activeCell="A2" sqref="A2:C2"/>
    </sheetView>
  </sheetViews>
  <sheetFormatPr baseColWidth="10" defaultColWidth="12.83203125" defaultRowHeight="13"/>
  <cols>
    <col min="1" max="1" width="56.5" customWidth="1"/>
    <col min="2" max="4" width="16.83203125" customWidth="1"/>
  </cols>
  <sheetData>
    <row r="1" spans="1:3" ht="14">
      <c r="A1" s="239" t="str">
        <f>HYPERLINK("#'Index'!A1","Back to index")</f>
        <v>Back to index</v>
      </c>
    </row>
    <row r="2" spans="1:3" ht="25" customHeight="1">
      <c r="A2" s="310" t="s">
        <v>49</v>
      </c>
      <c r="B2" s="311"/>
      <c r="C2" s="311"/>
    </row>
    <row r="3" spans="1:3" ht="22.5" customHeight="1">
      <c r="A3" s="312" t="s">
        <v>24</v>
      </c>
      <c r="B3" s="311"/>
      <c r="C3" s="311"/>
    </row>
    <row r="4" spans="1:3">
      <c r="A4" s="323"/>
      <c r="B4" s="323"/>
      <c r="C4" s="323"/>
    </row>
    <row r="5" spans="1:3" ht="22.5" customHeight="1">
      <c r="A5" s="5" t="s">
        <v>239</v>
      </c>
      <c r="B5" s="29" t="s">
        <v>478</v>
      </c>
      <c r="C5" s="28" t="s">
        <v>479</v>
      </c>
    </row>
    <row r="6" spans="1:3" ht="17">
      <c r="A6" s="14" t="s">
        <v>537</v>
      </c>
      <c r="B6" s="229" t="s">
        <v>1076</v>
      </c>
      <c r="C6" s="230" t="s">
        <v>1077</v>
      </c>
    </row>
    <row r="7" spans="1:3" ht="17">
      <c r="A7" s="16" t="s">
        <v>481</v>
      </c>
      <c r="B7" s="231" t="s">
        <v>1078</v>
      </c>
      <c r="C7" s="232" t="s">
        <v>1079</v>
      </c>
    </row>
    <row r="8" spans="1:3" ht="17">
      <c r="A8" s="16" t="s">
        <v>609</v>
      </c>
      <c r="B8" s="231" t="s">
        <v>1080</v>
      </c>
      <c r="C8" s="232" t="s">
        <v>1081</v>
      </c>
    </row>
    <row r="9" spans="1:3" ht="17">
      <c r="A9" s="16" t="s">
        <v>539</v>
      </c>
      <c r="B9" s="231" t="s">
        <v>1051</v>
      </c>
      <c r="C9" s="232" t="s">
        <v>1051</v>
      </c>
    </row>
    <row r="10" spans="1:3" ht="17">
      <c r="A10" s="17"/>
      <c r="B10" s="233" t="s">
        <v>1056</v>
      </c>
      <c r="C10" s="234" t="s">
        <v>1056</v>
      </c>
    </row>
    <row r="11" spans="1:3" ht="17">
      <c r="A11" s="16" t="s">
        <v>541</v>
      </c>
      <c r="B11" s="231" t="s">
        <v>1068</v>
      </c>
      <c r="C11" s="232" t="s">
        <v>1068</v>
      </c>
    </row>
    <row r="12" spans="1:3" ht="17">
      <c r="A12" s="16" t="s">
        <v>610</v>
      </c>
      <c r="B12" s="231" t="s">
        <v>1082</v>
      </c>
      <c r="C12" s="232" t="s">
        <v>1082</v>
      </c>
    </row>
    <row r="13" spans="1:3" ht="17">
      <c r="A13" s="16" t="s">
        <v>543</v>
      </c>
      <c r="B13" s="231" t="s">
        <v>1083</v>
      </c>
      <c r="C13" s="232" t="s">
        <v>1083</v>
      </c>
    </row>
    <row r="14" spans="1:3" ht="17">
      <c r="A14" s="124"/>
      <c r="B14" s="235" t="s">
        <v>1056</v>
      </c>
      <c r="C14" s="236" t="s">
        <v>1056</v>
      </c>
    </row>
    <row r="15" spans="1:3" ht="16">
      <c r="A15" s="363" t="s">
        <v>242</v>
      </c>
      <c r="B15" s="363"/>
      <c r="C15" s="363"/>
    </row>
  </sheetData>
  <mergeCells count="4">
    <mergeCell ref="A2:C2"/>
    <mergeCell ref="A3:C3"/>
    <mergeCell ref="A15:C15"/>
    <mergeCell ref="A4:C4"/>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2"/>
  <sheetViews>
    <sheetView showRuler="0" workbookViewId="0">
      <selection activeCell="A2" sqref="A2:N2"/>
    </sheetView>
  </sheetViews>
  <sheetFormatPr baseColWidth="10" defaultColWidth="12.83203125" defaultRowHeight="13"/>
  <cols>
    <col min="1" max="1" width="29.33203125" customWidth="1"/>
    <col min="2" max="2" width="30.6640625" customWidth="1"/>
    <col min="3" max="14" width="19.5" customWidth="1"/>
  </cols>
  <sheetData>
    <row r="1" spans="1:14" ht="14">
      <c r="A1" s="239" t="str">
        <f>HYPERLINK("#'Index'!A1","Back to index")</f>
        <v>Back to index</v>
      </c>
    </row>
    <row r="2" spans="1:14" ht="25" customHeight="1">
      <c r="A2" s="310" t="s">
        <v>49</v>
      </c>
      <c r="B2" s="311"/>
      <c r="C2" s="311"/>
      <c r="D2" s="311"/>
      <c r="E2" s="311"/>
      <c r="F2" s="311"/>
      <c r="G2" s="311"/>
      <c r="H2" s="311"/>
      <c r="I2" s="311"/>
      <c r="J2" s="311"/>
      <c r="K2" s="311"/>
      <c r="L2" s="311"/>
      <c r="M2" s="311"/>
      <c r="N2" s="311"/>
    </row>
    <row r="3" spans="1:14" ht="22" customHeight="1">
      <c r="A3" s="312" t="s">
        <v>3</v>
      </c>
      <c r="B3" s="311"/>
      <c r="C3" s="311"/>
      <c r="D3" s="311"/>
      <c r="E3" s="311"/>
      <c r="F3" s="311"/>
      <c r="G3" s="311"/>
      <c r="H3" s="311"/>
      <c r="I3" s="311"/>
      <c r="J3" s="311"/>
      <c r="K3" s="311"/>
      <c r="L3" s="311"/>
      <c r="M3" s="311"/>
      <c r="N3" s="311"/>
    </row>
    <row r="4" spans="1:14">
      <c r="A4" s="323"/>
      <c r="B4" s="323"/>
      <c r="C4" s="323"/>
      <c r="D4" s="323"/>
      <c r="E4" s="323"/>
      <c r="F4" s="323"/>
      <c r="G4" s="323"/>
      <c r="H4" s="323"/>
      <c r="I4" s="323"/>
      <c r="J4" s="323"/>
      <c r="K4" s="323"/>
      <c r="L4" s="323"/>
      <c r="M4" s="323"/>
      <c r="N4" s="323"/>
    </row>
    <row r="5" spans="1:14" ht="36">
      <c r="A5" s="5"/>
      <c r="B5" s="5"/>
      <c r="C5" s="13" t="s">
        <v>121</v>
      </c>
      <c r="D5" s="13" t="s">
        <v>122</v>
      </c>
      <c r="E5" s="13" t="s">
        <v>123</v>
      </c>
      <c r="F5" s="13" t="s">
        <v>124</v>
      </c>
      <c r="G5" s="13" t="s">
        <v>125</v>
      </c>
      <c r="H5" s="13" t="s">
        <v>126</v>
      </c>
      <c r="I5" s="13" t="s">
        <v>127</v>
      </c>
      <c r="J5" s="13" t="s">
        <v>67</v>
      </c>
      <c r="K5" s="13" t="s">
        <v>128</v>
      </c>
      <c r="L5" s="13" t="s">
        <v>129</v>
      </c>
      <c r="M5" s="13" t="s">
        <v>130</v>
      </c>
      <c r="N5" s="13" t="s">
        <v>131</v>
      </c>
    </row>
    <row r="6" spans="1:14" ht="17">
      <c r="A6" s="14" t="s">
        <v>132</v>
      </c>
      <c r="B6" s="14" t="s">
        <v>133</v>
      </c>
      <c r="C6" s="15" t="s">
        <v>134</v>
      </c>
      <c r="D6" s="15" t="s">
        <v>135</v>
      </c>
      <c r="E6" s="15" t="s">
        <v>136</v>
      </c>
      <c r="F6" s="15" t="s">
        <v>137</v>
      </c>
      <c r="G6" s="15" t="s">
        <v>136</v>
      </c>
      <c r="H6" s="15" t="s">
        <v>138</v>
      </c>
      <c r="I6" s="15" t="s">
        <v>137</v>
      </c>
      <c r="J6" s="15" t="s">
        <v>139</v>
      </c>
      <c r="K6" s="15" t="s">
        <v>139</v>
      </c>
      <c r="L6" s="15" t="s">
        <v>137</v>
      </c>
      <c r="M6" s="15" t="s">
        <v>140</v>
      </c>
      <c r="N6" s="15" t="s">
        <v>139</v>
      </c>
    </row>
    <row r="7" spans="1:14" ht="17">
      <c r="A7" s="319" t="s">
        <v>141</v>
      </c>
      <c r="B7" s="16" t="s">
        <v>142</v>
      </c>
      <c r="C7" s="17"/>
      <c r="D7" s="18" t="s">
        <v>143</v>
      </c>
      <c r="E7" s="18" t="s">
        <v>143</v>
      </c>
      <c r="F7" s="18" t="s">
        <v>143</v>
      </c>
      <c r="G7" s="18" t="s">
        <v>143</v>
      </c>
      <c r="H7" s="18" t="s">
        <v>144</v>
      </c>
      <c r="I7" s="18" t="s">
        <v>143</v>
      </c>
      <c r="J7" s="18" t="s">
        <v>143</v>
      </c>
      <c r="K7" s="18" t="s">
        <v>143</v>
      </c>
      <c r="L7" s="18" t="s">
        <v>143</v>
      </c>
      <c r="M7" s="18"/>
      <c r="N7" s="18" t="s">
        <v>143</v>
      </c>
    </row>
    <row r="8" spans="1:14" ht="17">
      <c r="A8" s="318"/>
      <c r="B8" s="16" t="s">
        <v>145</v>
      </c>
      <c r="C8" s="18" t="s">
        <v>143</v>
      </c>
      <c r="D8" s="18" t="s">
        <v>144</v>
      </c>
      <c r="E8" s="18" t="s">
        <v>143</v>
      </c>
      <c r="F8" s="18" t="s">
        <v>143</v>
      </c>
      <c r="G8" s="18" t="s">
        <v>143</v>
      </c>
      <c r="H8" s="18" t="s">
        <v>143</v>
      </c>
      <c r="I8" s="18" t="s">
        <v>143</v>
      </c>
      <c r="J8" s="18" t="s">
        <v>143</v>
      </c>
      <c r="K8" s="18" t="s">
        <v>143</v>
      </c>
      <c r="L8" s="18" t="s">
        <v>143</v>
      </c>
      <c r="M8" s="18" t="s">
        <v>143</v>
      </c>
      <c r="N8" s="18" t="s">
        <v>143</v>
      </c>
    </row>
    <row r="9" spans="1:14" ht="17">
      <c r="A9" s="319" t="s">
        <v>146</v>
      </c>
      <c r="B9" s="16" t="s">
        <v>147</v>
      </c>
      <c r="C9" s="19" t="s">
        <v>148</v>
      </c>
      <c r="D9" s="19" t="s">
        <v>148</v>
      </c>
      <c r="E9" s="19" t="s">
        <v>149</v>
      </c>
      <c r="F9" s="19" t="s">
        <v>149</v>
      </c>
      <c r="G9" s="19" t="s">
        <v>148</v>
      </c>
      <c r="H9" s="19" t="s">
        <v>148</v>
      </c>
      <c r="I9" s="19" t="s">
        <v>148</v>
      </c>
      <c r="J9" s="19" t="s">
        <v>148</v>
      </c>
      <c r="K9" s="19" t="s">
        <v>149</v>
      </c>
      <c r="L9" s="19" t="s">
        <v>148</v>
      </c>
      <c r="M9" s="19" t="s">
        <v>149</v>
      </c>
      <c r="N9" s="19" t="s">
        <v>148</v>
      </c>
    </row>
    <row r="10" spans="1:14" ht="17">
      <c r="A10" s="320"/>
      <c r="B10" s="16" t="s">
        <v>150</v>
      </c>
      <c r="C10" s="20" t="s">
        <v>151</v>
      </c>
      <c r="D10" s="20" t="s">
        <v>152</v>
      </c>
      <c r="E10" s="20" t="s">
        <v>153</v>
      </c>
      <c r="F10" s="20" t="s">
        <v>154</v>
      </c>
      <c r="G10" s="20" t="s">
        <v>155</v>
      </c>
      <c r="H10" s="20" t="s">
        <v>156</v>
      </c>
      <c r="I10" s="20" t="s">
        <v>157</v>
      </c>
      <c r="J10" s="20" t="s">
        <v>158</v>
      </c>
      <c r="K10" s="20" t="s">
        <v>155</v>
      </c>
      <c r="L10" s="20" t="s">
        <v>159</v>
      </c>
      <c r="M10" s="20" t="s">
        <v>160</v>
      </c>
      <c r="N10" s="20" t="s">
        <v>161</v>
      </c>
    </row>
    <row r="11" spans="1:14" ht="52" customHeight="1">
      <c r="A11" s="320"/>
      <c r="B11" s="16" t="s">
        <v>162</v>
      </c>
      <c r="C11" s="19" t="s">
        <v>163</v>
      </c>
      <c r="D11" s="19" t="s">
        <v>164</v>
      </c>
      <c r="E11" s="19" t="s">
        <v>165</v>
      </c>
      <c r="F11" s="19" t="s">
        <v>166</v>
      </c>
      <c r="G11" s="19" t="s">
        <v>167</v>
      </c>
      <c r="H11" s="19" t="s">
        <v>168</v>
      </c>
      <c r="I11" s="19" t="s">
        <v>169</v>
      </c>
      <c r="J11" s="19" t="s">
        <v>169</v>
      </c>
      <c r="K11" s="19" t="s">
        <v>163</v>
      </c>
      <c r="L11" s="19" t="s">
        <v>170</v>
      </c>
      <c r="M11" s="19" t="s">
        <v>171</v>
      </c>
      <c r="N11" s="19" t="s">
        <v>172</v>
      </c>
    </row>
    <row r="12" spans="1:14" ht="17">
      <c r="A12" s="318"/>
      <c r="B12" s="16" t="s">
        <v>173</v>
      </c>
      <c r="C12" s="19" t="s">
        <v>174</v>
      </c>
      <c r="D12" s="19" t="s">
        <v>174</v>
      </c>
      <c r="E12" s="19" t="s">
        <v>174</v>
      </c>
      <c r="F12" s="19" t="s">
        <v>174</v>
      </c>
      <c r="G12" s="19" t="s">
        <v>174</v>
      </c>
      <c r="H12" s="19" t="s">
        <v>174</v>
      </c>
      <c r="I12" s="19" t="s">
        <v>174</v>
      </c>
      <c r="J12" s="19" t="s">
        <v>174</v>
      </c>
      <c r="K12" s="19" t="s">
        <v>174</v>
      </c>
      <c r="L12" s="19" t="s">
        <v>174</v>
      </c>
      <c r="M12" s="19" t="s">
        <v>174</v>
      </c>
      <c r="N12" s="19" t="s">
        <v>174</v>
      </c>
    </row>
    <row r="13" spans="1:14" ht="17">
      <c r="A13" s="319" t="s">
        <v>175</v>
      </c>
      <c r="B13" s="16" t="s">
        <v>96</v>
      </c>
      <c r="C13" s="18" t="s">
        <v>143</v>
      </c>
      <c r="D13" s="18"/>
      <c r="E13" s="17"/>
      <c r="F13" s="18" t="s">
        <v>143</v>
      </c>
      <c r="G13" s="17"/>
      <c r="H13" s="18" t="s">
        <v>143</v>
      </c>
      <c r="I13" s="18" t="s">
        <v>143</v>
      </c>
      <c r="J13" s="18" t="s">
        <v>143</v>
      </c>
      <c r="K13" s="18" t="s">
        <v>143</v>
      </c>
      <c r="L13" s="18"/>
      <c r="M13" s="18" t="s">
        <v>143</v>
      </c>
      <c r="N13" s="18" t="s">
        <v>143</v>
      </c>
    </row>
    <row r="14" spans="1:14" ht="17">
      <c r="A14" s="320"/>
      <c r="B14" s="16" t="s">
        <v>99</v>
      </c>
      <c r="C14" s="18" t="s">
        <v>143</v>
      </c>
      <c r="D14" s="18" t="s">
        <v>143</v>
      </c>
      <c r="E14" s="17"/>
      <c r="F14" s="17"/>
      <c r="G14" s="18" t="s">
        <v>143</v>
      </c>
      <c r="H14" s="18" t="s">
        <v>143</v>
      </c>
      <c r="I14" s="18" t="s">
        <v>143</v>
      </c>
      <c r="J14" s="18"/>
      <c r="K14" s="18" t="s">
        <v>143</v>
      </c>
      <c r="L14" s="18" t="s">
        <v>143</v>
      </c>
      <c r="M14" s="17"/>
      <c r="N14" s="18" t="s">
        <v>143</v>
      </c>
    </row>
    <row r="15" spans="1:14" ht="17">
      <c r="A15" s="320"/>
      <c r="B15" s="16" t="s">
        <v>101</v>
      </c>
      <c r="C15" s="18"/>
      <c r="D15" s="18"/>
      <c r="E15" s="17"/>
      <c r="F15" s="18" t="s">
        <v>143</v>
      </c>
      <c r="G15" s="17"/>
      <c r="H15" s="18" t="s">
        <v>143</v>
      </c>
      <c r="I15" s="18" t="s">
        <v>143</v>
      </c>
      <c r="J15" s="18"/>
      <c r="K15" s="18" t="s">
        <v>143</v>
      </c>
      <c r="L15" s="18"/>
      <c r="M15" s="18" t="s">
        <v>143</v>
      </c>
      <c r="N15" s="18"/>
    </row>
    <row r="16" spans="1:14" ht="17">
      <c r="A16" s="320"/>
      <c r="B16" s="16" t="s">
        <v>103</v>
      </c>
      <c r="C16" s="18" t="s">
        <v>143</v>
      </c>
      <c r="D16" s="18" t="s">
        <v>143</v>
      </c>
      <c r="E16" s="17"/>
      <c r="F16" s="17"/>
      <c r="G16" s="17"/>
      <c r="H16" s="18" t="s">
        <v>143</v>
      </c>
      <c r="I16" s="18" t="s">
        <v>143</v>
      </c>
      <c r="J16" s="18" t="s">
        <v>143</v>
      </c>
      <c r="K16" s="18"/>
      <c r="L16" s="18"/>
      <c r="M16" s="18" t="s">
        <v>143</v>
      </c>
      <c r="N16" s="18"/>
    </row>
    <row r="17" spans="1:14" ht="17">
      <c r="A17" s="320"/>
      <c r="B17" s="16" t="s">
        <v>176</v>
      </c>
      <c r="C17" s="18" t="s">
        <v>143</v>
      </c>
      <c r="D17" s="18"/>
      <c r="E17" s="17"/>
      <c r="F17" s="18" t="s">
        <v>143</v>
      </c>
      <c r="G17" s="17"/>
      <c r="H17" s="17"/>
      <c r="I17" s="18" t="s">
        <v>143</v>
      </c>
      <c r="J17" s="18" t="s">
        <v>143</v>
      </c>
      <c r="K17" s="18"/>
      <c r="L17" s="18"/>
      <c r="M17" s="18" t="s">
        <v>143</v>
      </c>
      <c r="N17" s="18"/>
    </row>
    <row r="18" spans="1:14" ht="17">
      <c r="A18" s="320"/>
      <c r="B18" s="16" t="s">
        <v>108</v>
      </c>
      <c r="C18" s="18"/>
      <c r="D18" s="18" t="s">
        <v>143</v>
      </c>
      <c r="E18" s="17"/>
      <c r="F18" s="18" t="s">
        <v>143</v>
      </c>
      <c r="G18" s="17"/>
      <c r="H18" s="17"/>
      <c r="I18" s="18"/>
      <c r="J18" s="18" t="s">
        <v>143</v>
      </c>
      <c r="K18" s="18"/>
      <c r="L18" s="18"/>
      <c r="M18" s="18" t="s">
        <v>143</v>
      </c>
      <c r="N18" s="18"/>
    </row>
    <row r="19" spans="1:14" ht="17">
      <c r="A19" s="320"/>
      <c r="B19" s="16" t="s">
        <v>111</v>
      </c>
      <c r="C19" s="18"/>
      <c r="D19" s="18"/>
      <c r="E19" s="17"/>
      <c r="F19" s="18" t="s">
        <v>143</v>
      </c>
      <c r="G19" s="17"/>
      <c r="H19" s="17"/>
      <c r="I19" s="18"/>
      <c r="J19" s="18" t="s">
        <v>143</v>
      </c>
      <c r="K19" s="18"/>
      <c r="L19" s="18"/>
      <c r="M19" s="18" t="s">
        <v>143</v>
      </c>
      <c r="N19" s="17"/>
    </row>
    <row r="20" spans="1:14" ht="17">
      <c r="A20" s="320"/>
      <c r="B20" s="16" t="s">
        <v>177</v>
      </c>
      <c r="C20" s="18" t="s">
        <v>143</v>
      </c>
      <c r="D20" s="18" t="s">
        <v>143</v>
      </c>
      <c r="E20" s="18" t="s">
        <v>143</v>
      </c>
      <c r="F20" s="18" t="s">
        <v>143</v>
      </c>
      <c r="G20" s="17"/>
      <c r="H20" s="18" t="s">
        <v>143</v>
      </c>
      <c r="I20" s="18"/>
      <c r="J20" s="18" t="s">
        <v>143</v>
      </c>
      <c r="K20" s="18" t="s">
        <v>143</v>
      </c>
      <c r="L20" s="18" t="s">
        <v>143</v>
      </c>
      <c r="M20" s="18" t="s">
        <v>143</v>
      </c>
      <c r="N20" s="18"/>
    </row>
    <row r="21" spans="1:14" ht="17">
      <c r="A21" s="325"/>
      <c r="B21" s="21" t="s">
        <v>117</v>
      </c>
      <c r="C21" s="22" t="s">
        <v>143</v>
      </c>
      <c r="D21" s="22" t="s">
        <v>143</v>
      </c>
      <c r="E21" s="23"/>
      <c r="F21" s="23"/>
      <c r="G21" s="23"/>
      <c r="H21" s="22" t="s">
        <v>143</v>
      </c>
      <c r="I21" s="22" t="s">
        <v>143</v>
      </c>
      <c r="J21" s="22" t="s">
        <v>143</v>
      </c>
      <c r="K21" s="22"/>
      <c r="L21" s="23"/>
      <c r="M21" s="22" t="s">
        <v>143</v>
      </c>
      <c r="N21" s="23"/>
    </row>
    <row r="22" spans="1:14" ht="48" customHeight="1">
      <c r="A22" s="324" t="s">
        <v>1105</v>
      </c>
      <c r="B22" s="324"/>
      <c r="C22" s="324"/>
      <c r="D22" s="324"/>
      <c r="E22" s="324"/>
      <c r="F22" s="324"/>
      <c r="G22" s="324"/>
      <c r="H22" s="324"/>
      <c r="I22" s="324"/>
      <c r="J22" s="324"/>
      <c r="K22" s="324"/>
      <c r="L22" s="324"/>
      <c r="M22" s="324"/>
      <c r="N22" s="324"/>
    </row>
  </sheetData>
  <mergeCells count="7">
    <mergeCell ref="A22:N22"/>
    <mergeCell ref="A7:A8"/>
    <mergeCell ref="A3:N3"/>
    <mergeCell ref="A2:N2"/>
    <mergeCell ref="A9:A12"/>
    <mergeCell ref="A13:A21"/>
    <mergeCell ref="A4:N4"/>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E49"/>
  <sheetViews>
    <sheetView showRuler="0" workbookViewId="0">
      <selection activeCell="A2" sqref="A2:E2"/>
    </sheetView>
  </sheetViews>
  <sheetFormatPr baseColWidth="10" defaultColWidth="12.83203125" defaultRowHeight="13"/>
  <cols>
    <col min="1" max="1" width="56.5" customWidth="1"/>
    <col min="2" max="5" width="16.83203125" customWidth="1"/>
  </cols>
  <sheetData>
    <row r="1" spans="1:5" ht="16.75" customHeight="1">
      <c r="A1" s="239" t="str">
        <f>HYPERLINK("#'Index'!A1","Back to index")</f>
        <v>Back to index</v>
      </c>
    </row>
    <row r="2" spans="1:5" ht="25" customHeight="1">
      <c r="A2" s="310" t="s">
        <v>49</v>
      </c>
      <c r="B2" s="311"/>
      <c r="C2" s="311"/>
      <c r="D2" s="311"/>
      <c r="E2" s="311"/>
    </row>
    <row r="3" spans="1:5" ht="23.25" customHeight="1">
      <c r="A3" s="312" t="s">
        <v>25</v>
      </c>
      <c r="B3" s="311"/>
      <c r="C3" s="311"/>
      <c r="D3" s="311"/>
      <c r="E3" s="311"/>
    </row>
    <row r="4" spans="1:5" ht="13" customHeight="1">
      <c r="A4" s="323"/>
      <c r="B4" s="323"/>
      <c r="C4" s="323"/>
      <c r="D4" s="323"/>
      <c r="E4" s="323"/>
    </row>
    <row r="5" spans="1:5" ht="22.5" customHeight="1">
      <c r="A5" s="5" t="s">
        <v>332</v>
      </c>
      <c r="B5" s="92" t="s">
        <v>611</v>
      </c>
      <c r="C5" s="92" t="s">
        <v>612</v>
      </c>
      <c r="D5" s="92" t="s">
        <v>613</v>
      </c>
      <c r="E5" s="92" t="s">
        <v>614</v>
      </c>
    </row>
    <row r="6" spans="1:5" ht="15" customHeight="1">
      <c r="A6" s="33" t="s">
        <v>615</v>
      </c>
      <c r="B6" s="161"/>
      <c r="C6" s="161"/>
      <c r="D6" s="161"/>
      <c r="E6" s="14"/>
    </row>
    <row r="7" spans="1:5" ht="15" customHeight="1">
      <c r="A7" s="16" t="s">
        <v>616</v>
      </c>
      <c r="B7" s="78" t="s">
        <v>617</v>
      </c>
      <c r="C7" s="78" t="s">
        <v>617</v>
      </c>
      <c r="D7" s="78" t="s">
        <v>616</v>
      </c>
      <c r="E7" s="78" t="s">
        <v>616</v>
      </c>
    </row>
    <row r="8" spans="1:5" ht="15" customHeight="1">
      <c r="A8" s="16" t="s">
        <v>617</v>
      </c>
      <c r="B8" s="78" t="s">
        <v>618</v>
      </c>
      <c r="C8" s="78" t="s">
        <v>617</v>
      </c>
      <c r="D8" s="78" t="s">
        <v>617</v>
      </c>
      <c r="E8" s="78" t="s">
        <v>616</v>
      </c>
    </row>
    <row r="9" spans="1:5" ht="15" customHeight="1">
      <c r="A9" s="16" t="s">
        <v>618</v>
      </c>
      <c r="B9" s="78" t="s">
        <v>618</v>
      </c>
      <c r="C9" s="78" t="s">
        <v>618</v>
      </c>
      <c r="D9" s="78" t="s">
        <v>617</v>
      </c>
      <c r="E9" s="78" t="s">
        <v>617</v>
      </c>
    </row>
    <row r="10" spans="1:5" ht="15" customHeight="1">
      <c r="A10" s="21" t="s">
        <v>619</v>
      </c>
      <c r="B10" s="51" t="s">
        <v>618</v>
      </c>
      <c r="C10" s="51" t="s">
        <v>618</v>
      </c>
      <c r="D10" s="51" t="s">
        <v>618</v>
      </c>
      <c r="E10" s="51" t="s">
        <v>617</v>
      </c>
    </row>
    <row r="11" spans="1:5" ht="16.75" customHeight="1">
      <c r="A11" s="363" t="s">
        <v>242</v>
      </c>
      <c r="B11" s="363"/>
      <c r="C11" s="363"/>
      <c r="D11" s="363"/>
      <c r="E11" s="363"/>
    </row>
    <row r="12" spans="1:5" ht="15" customHeight="1"/>
    <row r="13" spans="1:5" ht="15" customHeight="1"/>
    <row r="14" spans="1:5" ht="15" customHeight="1"/>
    <row r="15" spans="1:5" ht="15" customHeight="1"/>
    <row r="16" spans="1:5"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sheetData>
  <mergeCells count="4">
    <mergeCell ref="A2:E2"/>
    <mergeCell ref="A3:E3"/>
    <mergeCell ref="A11:E11"/>
    <mergeCell ref="A4:E4"/>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16"/>
  <sheetViews>
    <sheetView showRuler="0" workbookViewId="0">
      <selection activeCell="A2" sqref="A2:G2"/>
    </sheetView>
  </sheetViews>
  <sheetFormatPr baseColWidth="10" defaultColWidth="12.83203125" defaultRowHeight="13"/>
  <cols>
    <col min="1" max="1" width="56.5" customWidth="1"/>
    <col min="2" max="7" width="16.83203125" customWidth="1"/>
  </cols>
  <sheetData>
    <row r="1" spans="1:7" ht="14">
      <c r="A1" s="239" t="str">
        <f>HYPERLINK("#'Index'!A1","Back to index")</f>
        <v>Back to index</v>
      </c>
    </row>
    <row r="2" spans="1:7" ht="25" customHeight="1">
      <c r="A2" s="310" t="s">
        <v>49</v>
      </c>
      <c r="B2" s="311"/>
      <c r="C2" s="311"/>
      <c r="D2" s="311"/>
      <c r="E2" s="311"/>
      <c r="F2" s="311"/>
      <c r="G2" s="311"/>
    </row>
    <row r="3" spans="1:7" ht="22.5" customHeight="1">
      <c r="A3" s="312" t="s">
        <v>620</v>
      </c>
      <c r="B3" s="311"/>
      <c r="C3" s="311"/>
      <c r="D3" s="311"/>
      <c r="E3" s="311"/>
      <c r="F3" s="311"/>
      <c r="G3" s="311"/>
    </row>
    <row r="4" spans="1:7">
      <c r="A4" s="323"/>
      <c r="B4" s="323"/>
      <c r="C4" s="323"/>
      <c r="D4" s="323"/>
      <c r="E4" s="323"/>
      <c r="F4" s="323"/>
      <c r="G4" s="323"/>
    </row>
    <row r="5" spans="1:7" ht="18" thickBot="1">
      <c r="A5" s="99" t="s">
        <v>621</v>
      </c>
      <c r="B5" s="389" t="s">
        <v>622</v>
      </c>
      <c r="C5" s="389"/>
      <c r="D5" s="389" t="s">
        <v>623</v>
      </c>
      <c r="E5" s="389"/>
      <c r="F5" s="389" t="s">
        <v>624</v>
      </c>
      <c r="G5" s="389"/>
    </row>
    <row r="6" spans="1:7" ht="18" thickBot="1">
      <c r="A6" s="147"/>
      <c r="B6" s="94" t="s">
        <v>625</v>
      </c>
      <c r="C6" s="94" t="s">
        <v>239</v>
      </c>
      <c r="D6" s="94" t="s">
        <v>625</v>
      </c>
      <c r="E6" s="94" t="s">
        <v>239</v>
      </c>
      <c r="F6" s="94" t="s">
        <v>625</v>
      </c>
      <c r="G6" s="94" t="s">
        <v>239</v>
      </c>
    </row>
    <row r="7" spans="1:7" ht="17">
      <c r="A7" s="221" t="s">
        <v>626</v>
      </c>
      <c r="B7" s="224"/>
      <c r="C7" s="305"/>
      <c r="D7" s="224"/>
      <c r="E7" s="305"/>
      <c r="F7" s="224"/>
      <c r="G7" s="305"/>
    </row>
    <row r="8" spans="1:7" ht="34">
      <c r="A8" s="79" t="s">
        <v>627</v>
      </c>
      <c r="B8" s="78"/>
      <c r="C8" s="232"/>
      <c r="D8" s="78"/>
      <c r="E8" s="232"/>
      <c r="F8" s="78"/>
      <c r="G8" s="232"/>
    </row>
    <row r="9" spans="1:7" ht="34">
      <c r="A9" s="16" t="s">
        <v>628</v>
      </c>
      <c r="B9" s="162">
        <v>0</v>
      </c>
      <c r="C9" s="232" t="s">
        <v>1084</v>
      </c>
      <c r="D9" s="162">
        <v>8037</v>
      </c>
      <c r="E9" s="232" t="s">
        <v>1086</v>
      </c>
      <c r="F9" s="162">
        <v>0</v>
      </c>
      <c r="G9" s="232" t="s">
        <v>1084</v>
      </c>
    </row>
    <row r="10" spans="1:7" ht="34">
      <c r="A10" s="79" t="s">
        <v>629</v>
      </c>
      <c r="B10" s="78"/>
      <c r="C10" s="232"/>
      <c r="D10" s="78"/>
      <c r="E10" s="232"/>
      <c r="F10" s="78"/>
      <c r="G10" s="232"/>
    </row>
    <row r="11" spans="1:7" ht="34">
      <c r="A11" s="16" t="s">
        <v>630</v>
      </c>
      <c r="B11" s="162">
        <v>0</v>
      </c>
      <c r="C11" s="232" t="s">
        <v>1084</v>
      </c>
      <c r="D11" s="162">
        <v>137015</v>
      </c>
      <c r="E11" s="232" t="s">
        <v>1087</v>
      </c>
      <c r="F11" s="162">
        <v>0</v>
      </c>
      <c r="G11" s="232" t="s">
        <v>1084</v>
      </c>
    </row>
    <row r="12" spans="1:7" ht="17">
      <c r="A12" s="79" t="s">
        <v>631</v>
      </c>
      <c r="B12" s="163">
        <v>0</v>
      </c>
      <c r="C12" s="234" t="s">
        <v>1084</v>
      </c>
      <c r="D12" s="163">
        <v>145052</v>
      </c>
      <c r="E12" s="234" t="s">
        <v>1088</v>
      </c>
      <c r="F12" s="163">
        <v>0</v>
      </c>
      <c r="G12" s="234" t="s">
        <v>1084</v>
      </c>
    </row>
    <row r="13" spans="1:7" ht="17">
      <c r="A13" s="79" t="s">
        <v>632</v>
      </c>
      <c r="B13" s="78"/>
      <c r="C13" s="232"/>
      <c r="D13" s="78"/>
      <c r="E13" s="232"/>
      <c r="F13" s="78"/>
      <c r="G13" s="232"/>
    </row>
    <row r="14" spans="1:7" ht="17">
      <c r="A14" s="16" t="s">
        <v>633</v>
      </c>
      <c r="B14" s="54">
        <v>18171053</v>
      </c>
      <c r="C14" s="232" t="s">
        <v>1085</v>
      </c>
      <c r="D14" s="162">
        <v>625542</v>
      </c>
      <c r="E14" s="232" t="s">
        <v>1089</v>
      </c>
      <c r="F14" s="162">
        <v>248414</v>
      </c>
      <c r="G14" s="232" t="s">
        <v>1085</v>
      </c>
    </row>
    <row r="15" spans="1:7" ht="17">
      <c r="A15" s="124" t="s">
        <v>634</v>
      </c>
      <c r="B15" s="164">
        <v>18171053</v>
      </c>
      <c r="C15" s="236" t="s">
        <v>1085</v>
      </c>
      <c r="D15" s="165">
        <v>770594</v>
      </c>
      <c r="E15" s="236" t="s">
        <v>1085</v>
      </c>
      <c r="F15" s="165">
        <v>248414</v>
      </c>
      <c r="G15" s="236" t="s">
        <v>1085</v>
      </c>
    </row>
    <row r="16" spans="1:7" ht="16">
      <c r="A16" s="332"/>
      <c r="B16" s="332"/>
      <c r="C16" s="332"/>
      <c r="D16" s="332"/>
      <c r="E16" s="332"/>
      <c r="F16" s="332"/>
      <c r="G16" s="332"/>
    </row>
  </sheetData>
  <mergeCells count="7">
    <mergeCell ref="A16:G16"/>
    <mergeCell ref="A2:G2"/>
    <mergeCell ref="A3:G3"/>
    <mergeCell ref="B5:C5"/>
    <mergeCell ref="D5:E5"/>
    <mergeCell ref="F5:G5"/>
    <mergeCell ref="A4:G4"/>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C22"/>
  <sheetViews>
    <sheetView showRuler="0" workbookViewId="0">
      <selection activeCell="A2" sqref="A2:C2"/>
    </sheetView>
  </sheetViews>
  <sheetFormatPr baseColWidth="10" defaultColWidth="12.83203125" defaultRowHeight="13"/>
  <cols>
    <col min="1" max="1" width="94.5" customWidth="1"/>
    <col min="2" max="3" width="16.83203125" customWidth="1"/>
  </cols>
  <sheetData>
    <row r="1" spans="1:3" ht="14">
      <c r="A1" s="239" t="str">
        <f>HYPERLINK("#'Index'!A1","Back to index")</f>
        <v>Back to index</v>
      </c>
    </row>
    <row r="2" spans="1:3" ht="25" customHeight="1">
      <c r="A2" s="310" t="s">
        <v>49</v>
      </c>
      <c r="B2" s="311"/>
      <c r="C2" s="311"/>
    </row>
    <row r="3" spans="1:3" ht="21" customHeight="1">
      <c r="A3" s="312" t="s">
        <v>635</v>
      </c>
      <c r="B3" s="311"/>
      <c r="C3" s="311"/>
    </row>
    <row r="4" spans="1:3">
      <c r="A4" s="323"/>
      <c r="B4" s="323"/>
      <c r="C4" s="323"/>
    </row>
    <row r="5" spans="1:3" ht="17">
      <c r="A5" s="274" t="s">
        <v>636</v>
      </c>
      <c r="B5" s="5" t="s">
        <v>637</v>
      </c>
      <c r="C5" s="29" t="s">
        <v>50</v>
      </c>
    </row>
    <row r="6" spans="1:3" ht="17">
      <c r="A6" s="14" t="s">
        <v>638</v>
      </c>
      <c r="B6" s="166" t="s">
        <v>639</v>
      </c>
      <c r="C6" s="59">
        <v>104054</v>
      </c>
    </row>
    <row r="7" spans="1:3" ht="17">
      <c r="A7" s="16" t="s">
        <v>640</v>
      </c>
      <c r="B7" s="167" t="s">
        <v>639</v>
      </c>
      <c r="C7" s="61">
        <v>270238</v>
      </c>
    </row>
    <row r="8" spans="1:3" ht="17">
      <c r="A8" s="16" t="s">
        <v>641</v>
      </c>
      <c r="B8" s="167" t="s">
        <v>639</v>
      </c>
      <c r="C8" s="61">
        <v>1210832</v>
      </c>
    </row>
    <row r="9" spans="1:3" ht="17">
      <c r="A9" s="168" t="s">
        <v>642</v>
      </c>
      <c r="B9" s="168" t="s">
        <v>639</v>
      </c>
      <c r="C9" s="61">
        <v>24770</v>
      </c>
    </row>
    <row r="10" spans="1:3" ht="17">
      <c r="A10" s="16" t="s">
        <v>643</v>
      </c>
      <c r="B10" s="169" t="s">
        <v>639</v>
      </c>
      <c r="C10" s="61">
        <v>1246064</v>
      </c>
    </row>
    <row r="11" spans="1:3" ht="17">
      <c r="A11" s="170" t="s">
        <v>644</v>
      </c>
      <c r="B11" s="169" t="s">
        <v>639</v>
      </c>
      <c r="C11" s="102">
        <v>2855957</v>
      </c>
    </row>
    <row r="12" spans="1:3" ht="17">
      <c r="A12" s="170" t="s">
        <v>645</v>
      </c>
      <c r="B12" s="169" t="s">
        <v>646</v>
      </c>
      <c r="C12" s="171">
        <v>0.91</v>
      </c>
    </row>
    <row r="13" spans="1:3" ht="17">
      <c r="A13" s="169" t="s">
        <v>647</v>
      </c>
      <c r="B13" s="169" t="s">
        <v>639</v>
      </c>
      <c r="C13" s="61">
        <v>71593</v>
      </c>
    </row>
    <row r="14" spans="1:3" ht="17">
      <c r="A14" s="169" t="s">
        <v>648</v>
      </c>
      <c r="B14" s="169" t="s">
        <v>646</v>
      </c>
      <c r="C14" s="172">
        <v>0.02</v>
      </c>
    </row>
    <row r="15" spans="1:3" ht="30" customHeight="1">
      <c r="A15" s="173" t="s">
        <v>649</v>
      </c>
      <c r="B15" s="169"/>
      <c r="C15" s="38"/>
    </row>
    <row r="16" spans="1:3" ht="19">
      <c r="A16" s="169" t="s">
        <v>650</v>
      </c>
      <c r="B16" s="169" t="s">
        <v>639</v>
      </c>
      <c r="C16" s="61">
        <v>2954</v>
      </c>
    </row>
    <row r="17" spans="1:3" ht="19" customHeight="1">
      <c r="A17" s="16" t="s">
        <v>651</v>
      </c>
      <c r="B17" s="169" t="s">
        <v>639</v>
      </c>
      <c r="C17" s="61">
        <v>148975</v>
      </c>
    </row>
    <row r="18" spans="1:3" ht="17">
      <c r="A18" s="169" t="s">
        <v>652</v>
      </c>
      <c r="B18" s="169" t="s">
        <v>639</v>
      </c>
      <c r="C18" s="61">
        <v>60813</v>
      </c>
    </row>
    <row r="19" spans="1:3" ht="34">
      <c r="A19" s="79" t="s">
        <v>653</v>
      </c>
      <c r="B19" s="169" t="s">
        <v>639</v>
      </c>
      <c r="C19" s="102">
        <v>212742</v>
      </c>
    </row>
    <row r="20" spans="1:3" ht="17">
      <c r="A20" s="170" t="s">
        <v>654</v>
      </c>
      <c r="B20" s="169" t="s">
        <v>646</v>
      </c>
      <c r="C20" s="171">
        <v>7.0000000000000007E-2</v>
      </c>
    </row>
    <row r="21" spans="1:3" ht="17">
      <c r="A21" s="124" t="s">
        <v>655</v>
      </c>
      <c r="B21" s="174" t="s">
        <v>639</v>
      </c>
      <c r="C21" s="104">
        <v>3140292</v>
      </c>
    </row>
    <row r="22" spans="1:3" ht="15.75" customHeight="1">
      <c r="A22" s="324" t="s">
        <v>1176</v>
      </c>
      <c r="B22" s="324"/>
      <c r="C22" s="324"/>
    </row>
  </sheetData>
  <mergeCells count="4">
    <mergeCell ref="A2:C2"/>
    <mergeCell ref="A3:C3"/>
    <mergeCell ref="A22:C22"/>
    <mergeCell ref="A4:C4"/>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7"/>
  <sheetViews>
    <sheetView showRuler="0" workbookViewId="0"/>
  </sheetViews>
  <sheetFormatPr baseColWidth="10" defaultColWidth="12.83203125" defaultRowHeight="13"/>
  <cols>
    <col min="1" max="1" width="78.6640625" customWidth="1"/>
    <col min="2" max="2" width="16.83203125" customWidth="1"/>
  </cols>
  <sheetData>
    <row r="1" spans="1:2" ht="14">
      <c r="A1" s="239" t="str">
        <f>HYPERLINK("#'Index'!A1","Back to index")</f>
        <v>Back to index</v>
      </c>
    </row>
    <row r="2" spans="1:2" ht="25" customHeight="1">
      <c r="A2" s="310" t="s">
        <v>49</v>
      </c>
      <c r="B2" s="311"/>
    </row>
    <row r="3" spans="1:2" ht="22.5" customHeight="1">
      <c r="A3" s="312" t="s">
        <v>1177</v>
      </c>
      <c r="B3" s="311"/>
    </row>
    <row r="4" spans="1:2">
      <c r="A4" s="323"/>
      <c r="B4" s="323"/>
    </row>
    <row r="5" spans="1:2" ht="17">
      <c r="A5" s="5" t="s">
        <v>656</v>
      </c>
      <c r="B5" s="29" t="s">
        <v>50</v>
      </c>
    </row>
    <row r="6" spans="1:2" ht="17">
      <c r="A6" s="175" t="s">
        <v>657</v>
      </c>
      <c r="B6" s="176">
        <v>173</v>
      </c>
    </row>
    <row r="7" spans="1:2" ht="72" customHeight="1">
      <c r="A7" s="324" t="s">
        <v>1178</v>
      </c>
      <c r="B7" s="324"/>
    </row>
  </sheetData>
  <mergeCells count="4">
    <mergeCell ref="A2:B2"/>
    <mergeCell ref="A3:B3"/>
    <mergeCell ref="A7:B7"/>
    <mergeCell ref="A4:B4"/>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8"/>
  <sheetViews>
    <sheetView showRuler="0" workbookViewId="0">
      <selection activeCell="A2" sqref="A2:B2"/>
    </sheetView>
  </sheetViews>
  <sheetFormatPr baseColWidth="10" defaultColWidth="12.83203125" defaultRowHeight="13"/>
  <cols>
    <col min="1" max="1" width="78.6640625" customWidth="1"/>
    <col min="2" max="2" width="16.83203125" customWidth="1"/>
  </cols>
  <sheetData>
    <row r="1" spans="1:2" ht="14">
      <c r="A1" s="239" t="str">
        <f>HYPERLINK("#'Index'!A1","Back to index")</f>
        <v>Back to index</v>
      </c>
    </row>
    <row r="2" spans="1:2" ht="25" customHeight="1">
      <c r="A2" s="310" t="s">
        <v>49</v>
      </c>
      <c r="B2" s="311"/>
    </row>
    <row r="3" spans="1:2" ht="22.5" customHeight="1">
      <c r="A3" s="312" t="s">
        <v>658</v>
      </c>
      <c r="B3" s="311"/>
    </row>
    <row r="4" spans="1:2">
      <c r="A4" s="323"/>
      <c r="B4" s="323"/>
    </row>
    <row r="5" spans="1:2" ht="18" thickBot="1">
      <c r="A5" s="243" t="s">
        <v>659</v>
      </c>
      <c r="B5" s="275" t="s">
        <v>660</v>
      </c>
    </row>
    <row r="6" spans="1:2" ht="17">
      <c r="A6" s="185" t="s">
        <v>661</v>
      </c>
      <c r="B6" s="59">
        <v>7875</v>
      </c>
    </row>
    <row r="7" spans="1:2" ht="18" thickBot="1">
      <c r="A7" s="174" t="s">
        <v>662</v>
      </c>
      <c r="B7" s="62">
        <v>60813</v>
      </c>
    </row>
    <row r="8" spans="1:2">
      <c r="A8" s="324"/>
      <c r="B8" s="324"/>
    </row>
  </sheetData>
  <mergeCells count="4">
    <mergeCell ref="A2:B2"/>
    <mergeCell ref="A3:B3"/>
    <mergeCell ref="A8:B8"/>
    <mergeCell ref="A4:B4"/>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32"/>
  <sheetViews>
    <sheetView showRuler="0" workbookViewId="0">
      <selection activeCell="A2" sqref="A2:H2"/>
    </sheetView>
  </sheetViews>
  <sheetFormatPr baseColWidth="10" defaultColWidth="12.83203125" defaultRowHeight="13"/>
  <cols>
    <col min="1" max="1" width="77.83203125" customWidth="1"/>
    <col min="2" max="2" width="24.33203125" customWidth="1"/>
    <col min="3" max="7" width="16.83203125" customWidth="1"/>
  </cols>
  <sheetData>
    <row r="1" spans="1:8" ht="14">
      <c r="A1" s="239" t="str">
        <f>HYPERLINK("#'Index'!A1","Back to index")</f>
        <v>Back to index</v>
      </c>
    </row>
    <row r="2" spans="1:8" ht="25" customHeight="1">
      <c r="A2" s="310" t="s">
        <v>49</v>
      </c>
      <c r="B2" s="310"/>
      <c r="C2" s="310"/>
      <c r="D2" s="310"/>
      <c r="E2" s="310"/>
      <c r="F2" s="310"/>
      <c r="G2" s="310"/>
      <c r="H2" s="310"/>
    </row>
    <row r="3" spans="1:8" ht="22.5" customHeight="1">
      <c r="A3" s="312" t="s">
        <v>663</v>
      </c>
      <c r="B3" s="312"/>
      <c r="C3" s="312"/>
      <c r="D3" s="312"/>
      <c r="E3" s="312"/>
      <c r="F3" s="312"/>
      <c r="G3" s="312"/>
      <c r="H3" s="312"/>
    </row>
    <row r="4" spans="1:8" ht="16" customHeight="1">
      <c r="A4" s="323"/>
      <c r="B4" s="323"/>
      <c r="C4" s="323"/>
      <c r="D4" s="323"/>
      <c r="E4" s="323"/>
      <c r="F4" s="323"/>
      <c r="G4" s="323"/>
      <c r="H4" s="323"/>
    </row>
    <row r="5" spans="1:8" ht="17">
      <c r="A5" s="5"/>
      <c r="B5" s="5"/>
      <c r="C5" s="276" t="s">
        <v>664</v>
      </c>
      <c r="D5" s="98"/>
      <c r="E5" s="349" t="s">
        <v>665</v>
      </c>
      <c r="F5" s="349"/>
      <c r="G5" s="349"/>
      <c r="H5" s="349"/>
    </row>
    <row r="6" spans="1:8" ht="51">
      <c r="A6" s="147"/>
      <c r="B6" s="94" t="s">
        <v>666</v>
      </c>
      <c r="C6" s="277" t="s">
        <v>50</v>
      </c>
      <c r="D6" s="94" t="s">
        <v>667</v>
      </c>
      <c r="E6" s="177" t="s">
        <v>668</v>
      </c>
      <c r="F6" s="177" t="s">
        <v>669</v>
      </c>
      <c r="G6" s="177" t="s">
        <v>670</v>
      </c>
      <c r="H6" s="94" t="s">
        <v>671</v>
      </c>
    </row>
    <row r="7" spans="1:8" ht="15" customHeight="1">
      <c r="A7" s="33" t="s">
        <v>672</v>
      </c>
      <c r="B7" s="282"/>
      <c r="C7" s="283"/>
      <c r="D7" s="282"/>
      <c r="E7" s="284"/>
      <c r="F7" s="284"/>
      <c r="G7" s="284"/>
      <c r="H7" s="284"/>
    </row>
    <row r="8" spans="1:8" ht="19">
      <c r="A8" s="16" t="s">
        <v>673</v>
      </c>
      <c r="B8" s="78" t="s">
        <v>674</v>
      </c>
      <c r="C8" s="278">
        <v>501.55</v>
      </c>
      <c r="D8" s="78" t="s">
        <v>675</v>
      </c>
      <c r="E8" s="78" t="s">
        <v>675</v>
      </c>
      <c r="F8" s="78" t="s">
        <v>675</v>
      </c>
      <c r="G8" s="78" t="s">
        <v>675</v>
      </c>
      <c r="H8" s="78" t="s">
        <v>675</v>
      </c>
    </row>
    <row r="9" spans="1:8" ht="17">
      <c r="A9" s="16" t="s">
        <v>676</v>
      </c>
      <c r="B9" s="78" t="s">
        <v>646</v>
      </c>
      <c r="C9" s="279">
        <v>93</v>
      </c>
      <c r="D9" s="78" t="s">
        <v>675</v>
      </c>
      <c r="E9" s="78" t="s">
        <v>675</v>
      </c>
      <c r="F9" s="78" t="s">
        <v>675</v>
      </c>
      <c r="G9" s="78" t="s">
        <v>675</v>
      </c>
      <c r="H9" s="78" t="s">
        <v>675</v>
      </c>
    </row>
    <row r="10" spans="1:8" ht="17">
      <c r="A10" s="79" t="s">
        <v>677</v>
      </c>
      <c r="B10" s="285"/>
      <c r="C10" s="286"/>
      <c r="D10" s="285"/>
      <c r="E10" s="285"/>
      <c r="F10" s="285"/>
      <c r="G10" s="285"/>
      <c r="H10" s="285"/>
    </row>
    <row r="11" spans="1:8" ht="19">
      <c r="A11" s="16" t="s">
        <v>678</v>
      </c>
      <c r="B11" s="78" t="s">
        <v>674</v>
      </c>
      <c r="C11" s="278">
        <v>418.41</v>
      </c>
      <c r="D11" s="78" t="s">
        <v>675</v>
      </c>
      <c r="E11" s="78" t="s">
        <v>675</v>
      </c>
      <c r="F11" s="78" t="s">
        <v>675</v>
      </c>
      <c r="G11" s="78" t="s">
        <v>675</v>
      </c>
      <c r="H11" s="78" t="s">
        <v>675</v>
      </c>
    </row>
    <row r="12" spans="1:8" ht="19">
      <c r="A12" s="16" t="s">
        <v>679</v>
      </c>
      <c r="B12" s="78" t="s">
        <v>674</v>
      </c>
      <c r="C12" s="278">
        <v>467.27</v>
      </c>
      <c r="D12" s="78" t="s">
        <v>675</v>
      </c>
      <c r="E12" s="78" t="s">
        <v>675</v>
      </c>
      <c r="F12" s="78" t="s">
        <v>675</v>
      </c>
      <c r="G12" s="78" t="s">
        <v>675</v>
      </c>
      <c r="H12" s="78" t="s">
        <v>675</v>
      </c>
    </row>
    <row r="13" spans="1:8" ht="20">
      <c r="A13" s="79" t="s">
        <v>680</v>
      </c>
      <c r="B13" s="78" t="s">
        <v>674</v>
      </c>
      <c r="C13" s="278">
        <v>968.82</v>
      </c>
      <c r="D13" s="88">
        <v>1554</v>
      </c>
      <c r="E13" s="78" t="s">
        <v>675</v>
      </c>
      <c r="F13" s="88">
        <v>777</v>
      </c>
      <c r="G13" s="78" t="s">
        <v>675</v>
      </c>
      <c r="H13" s="78" t="s">
        <v>675</v>
      </c>
    </row>
    <row r="14" spans="1:8" ht="17">
      <c r="A14" s="79" t="s">
        <v>681</v>
      </c>
      <c r="B14" s="285"/>
      <c r="C14" s="286"/>
      <c r="D14" s="285"/>
      <c r="E14" s="285"/>
      <c r="F14" s="285"/>
      <c r="G14" s="285"/>
      <c r="H14" s="285"/>
    </row>
    <row r="15" spans="1:8" ht="19">
      <c r="A15" s="16" t="s">
        <v>682</v>
      </c>
      <c r="B15" s="78" t="s">
        <v>674</v>
      </c>
      <c r="C15" s="278">
        <v>4513.84</v>
      </c>
      <c r="D15" s="78" t="s">
        <v>675</v>
      </c>
      <c r="E15" s="78" t="s">
        <v>675</v>
      </c>
      <c r="F15" s="78" t="s">
        <v>675</v>
      </c>
      <c r="G15" s="78" t="s">
        <v>675</v>
      </c>
      <c r="H15" s="78" t="s">
        <v>675</v>
      </c>
    </row>
    <row r="16" spans="1:8" ht="19">
      <c r="A16" s="16" t="s">
        <v>683</v>
      </c>
      <c r="B16" s="78" t="s">
        <v>674</v>
      </c>
      <c r="C16" s="278">
        <v>2596.9899999999998</v>
      </c>
      <c r="D16" s="78" t="s">
        <v>675</v>
      </c>
      <c r="E16" s="78" t="s">
        <v>675</v>
      </c>
      <c r="F16" s="78" t="s">
        <v>675</v>
      </c>
      <c r="G16" s="78" t="s">
        <v>675</v>
      </c>
      <c r="H16" s="78" t="s">
        <v>675</v>
      </c>
    </row>
    <row r="17" spans="1:8" ht="19">
      <c r="A17" s="16" t="s">
        <v>684</v>
      </c>
      <c r="B17" s="78" t="s">
        <v>674</v>
      </c>
      <c r="C17" s="278">
        <v>208.23</v>
      </c>
      <c r="D17" s="78" t="s">
        <v>675</v>
      </c>
      <c r="E17" s="78" t="s">
        <v>675</v>
      </c>
      <c r="F17" s="78" t="s">
        <v>675</v>
      </c>
      <c r="G17" s="78" t="s">
        <v>675</v>
      </c>
      <c r="H17" s="78" t="s">
        <v>675</v>
      </c>
    </row>
    <row r="18" spans="1:8" ht="19">
      <c r="A18" s="16" t="s">
        <v>685</v>
      </c>
      <c r="B18" s="78" t="s">
        <v>674</v>
      </c>
      <c r="C18" s="278">
        <v>321.89999999999998</v>
      </c>
      <c r="D18" s="78" t="s">
        <v>675</v>
      </c>
      <c r="E18" s="78" t="s">
        <v>675</v>
      </c>
      <c r="F18" s="78" t="s">
        <v>675</v>
      </c>
      <c r="G18" s="78" t="s">
        <v>675</v>
      </c>
      <c r="H18" s="78" t="s">
        <v>675</v>
      </c>
    </row>
    <row r="19" spans="1:8" ht="19">
      <c r="A19" s="16" t="s">
        <v>686</v>
      </c>
      <c r="B19" s="78" t="s">
        <v>674</v>
      </c>
      <c r="C19" s="278">
        <v>485.96</v>
      </c>
      <c r="D19" s="78" t="s">
        <v>675</v>
      </c>
      <c r="E19" s="78" t="s">
        <v>675</v>
      </c>
      <c r="F19" s="78" t="s">
        <v>675</v>
      </c>
      <c r="G19" s="78" t="s">
        <v>675</v>
      </c>
      <c r="H19" s="78" t="s">
        <v>675</v>
      </c>
    </row>
    <row r="20" spans="1:8" ht="19">
      <c r="A20" s="16" t="s">
        <v>687</v>
      </c>
      <c r="B20" s="78" t="s">
        <v>674</v>
      </c>
      <c r="C20" s="278">
        <v>38.94</v>
      </c>
      <c r="D20" s="78"/>
      <c r="E20" s="78" t="s">
        <v>675</v>
      </c>
      <c r="F20" s="78" t="s">
        <v>675</v>
      </c>
      <c r="G20" s="78" t="s">
        <v>675</v>
      </c>
      <c r="H20" s="78" t="s">
        <v>675</v>
      </c>
    </row>
    <row r="21" spans="1:8" ht="19">
      <c r="A21" s="16" t="s">
        <v>688</v>
      </c>
      <c r="B21" s="78" t="s">
        <v>674</v>
      </c>
      <c r="C21" s="278">
        <v>0.99</v>
      </c>
      <c r="D21" s="78" t="s">
        <v>675</v>
      </c>
      <c r="E21" s="78" t="s">
        <v>675</v>
      </c>
      <c r="F21" s="78" t="s">
        <v>675</v>
      </c>
      <c r="G21" s="78" t="s">
        <v>675</v>
      </c>
      <c r="H21" s="78" t="s">
        <v>675</v>
      </c>
    </row>
    <row r="22" spans="1:8" ht="19">
      <c r="A22" s="16" t="s">
        <v>689</v>
      </c>
      <c r="B22" s="78" t="s">
        <v>674</v>
      </c>
      <c r="C22" s="278">
        <v>3.96</v>
      </c>
      <c r="D22" s="78" t="s">
        <v>675</v>
      </c>
      <c r="E22" s="78" t="s">
        <v>675</v>
      </c>
      <c r="F22" s="78" t="s">
        <v>675</v>
      </c>
      <c r="G22" s="78" t="s">
        <v>675</v>
      </c>
      <c r="H22" s="78" t="s">
        <v>675</v>
      </c>
    </row>
    <row r="23" spans="1:8" ht="19">
      <c r="A23" s="16" t="s">
        <v>690</v>
      </c>
      <c r="B23" s="78" t="s">
        <v>674</v>
      </c>
      <c r="C23" s="278">
        <v>820.58</v>
      </c>
      <c r="D23" s="78" t="s">
        <v>675</v>
      </c>
      <c r="E23" s="78" t="s">
        <v>675</v>
      </c>
      <c r="F23" s="78" t="s">
        <v>675</v>
      </c>
      <c r="G23" s="78" t="s">
        <v>675</v>
      </c>
      <c r="H23" s="78" t="s">
        <v>675</v>
      </c>
    </row>
    <row r="24" spans="1:8" ht="19">
      <c r="A24" s="16" t="s">
        <v>691</v>
      </c>
      <c r="B24" s="78" t="s">
        <v>674</v>
      </c>
      <c r="C24" s="278">
        <v>36.29</v>
      </c>
      <c r="D24" s="78" t="s">
        <v>675</v>
      </c>
      <c r="E24" s="78" t="s">
        <v>675</v>
      </c>
      <c r="F24" s="78" t="s">
        <v>675</v>
      </c>
      <c r="G24" s="78" t="s">
        <v>675</v>
      </c>
      <c r="H24" s="78" t="s">
        <v>675</v>
      </c>
    </row>
    <row r="25" spans="1:8" ht="20">
      <c r="A25" s="79" t="s">
        <v>1179</v>
      </c>
      <c r="B25" s="78" t="s">
        <v>692</v>
      </c>
      <c r="C25" s="288" t="s">
        <v>1180</v>
      </c>
      <c r="D25" s="88">
        <v>6</v>
      </c>
      <c r="E25" s="78" t="s">
        <v>675</v>
      </c>
      <c r="F25" s="232" t="s">
        <v>1182</v>
      </c>
      <c r="G25" s="78" t="s">
        <v>675</v>
      </c>
      <c r="H25" s="78" t="s">
        <v>675</v>
      </c>
    </row>
    <row r="26" spans="1:8" ht="17">
      <c r="A26" s="79" t="s">
        <v>693</v>
      </c>
      <c r="B26" s="285"/>
      <c r="C26" s="287"/>
      <c r="D26" s="285"/>
      <c r="E26" s="285"/>
      <c r="F26" s="285"/>
      <c r="G26" s="285"/>
      <c r="H26" s="285"/>
    </row>
    <row r="27" spans="1:8" ht="19">
      <c r="A27" s="79" t="s">
        <v>694</v>
      </c>
      <c r="B27" s="78" t="s">
        <v>674</v>
      </c>
      <c r="C27" s="280">
        <v>5433.81</v>
      </c>
      <c r="D27" s="78" t="s">
        <v>675</v>
      </c>
      <c r="E27" s="78" t="s">
        <v>675</v>
      </c>
      <c r="F27" s="78" t="s">
        <v>675</v>
      </c>
      <c r="G27" s="78" t="s">
        <v>675</v>
      </c>
      <c r="H27" s="78" t="s">
        <v>675</v>
      </c>
    </row>
    <row r="28" spans="1:8" ht="19">
      <c r="A28" s="79" t="s">
        <v>695</v>
      </c>
      <c r="B28" s="78" t="s">
        <v>674</v>
      </c>
      <c r="C28" s="280">
        <v>5482.66</v>
      </c>
      <c r="D28" s="78" t="s">
        <v>675</v>
      </c>
      <c r="E28" s="78" t="s">
        <v>675</v>
      </c>
      <c r="F28" s="78" t="s">
        <v>675</v>
      </c>
      <c r="G28" s="78" t="s">
        <v>675</v>
      </c>
      <c r="H28" s="78" t="s">
        <v>675</v>
      </c>
    </row>
    <row r="29" spans="1:8" ht="19">
      <c r="A29" s="79" t="s">
        <v>696</v>
      </c>
      <c r="B29" s="285"/>
      <c r="C29" s="287"/>
      <c r="D29" s="285"/>
      <c r="E29" s="285"/>
      <c r="F29" s="285"/>
      <c r="G29" s="285"/>
      <c r="H29" s="285"/>
    </row>
    <row r="30" spans="1:8" ht="19">
      <c r="A30" s="16" t="s">
        <v>697</v>
      </c>
      <c r="B30" s="78" t="s">
        <v>698</v>
      </c>
      <c r="C30" s="289" t="s">
        <v>1181</v>
      </c>
      <c r="D30" s="78" t="s">
        <v>675</v>
      </c>
      <c r="E30" s="78" t="s">
        <v>675</v>
      </c>
      <c r="F30" s="78" t="s">
        <v>675</v>
      </c>
      <c r="G30" s="78" t="s">
        <v>675</v>
      </c>
      <c r="H30" s="78" t="s">
        <v>675</v>
      </c>
    </row>
    <row r="31" spans="1:8" ht="19">
      <c r="A31" s="21" t="s">
        <v>699</v>
      </c>
      <c r="B31" s="51" t="s">
        <v>698</v>
      </c>
      <c r="C31" s="281">
        <v>0.30199999999999999</v>
      </c>
      <c r="D31" s="51" t="s">
        <v>675</v>
      </c>
      <c r="E31" s="51" t="s">
        <v>675</v>
      </c>
      <c r="F31" s="51" t="s">
        <v>675</v>
      </c>
      <c r="G31" s="51" t="s">
        <v>675</v>
      </c>
      <c r="H31" s="51" t="s">
        <v>675</v>
      </c>
    </row>
    <row r="32" spans="1:8" ht="46" customHeight="1">
      <c r="A32" s="390" t="s">
        <v>700</v>
      </c>
      <c r="B32" s="390"/>
      <c r="C32" s="390"/>
      <c r="D32" s="390"/>
      <c r="E32" s="390"/>
      <c r="F32" s="390"/>
      <c r="G32" s="390"/>
      <c r="H32" s="390"/>
    </row>
  </sheetData>
  <mergeCells count="5">
    <mergeCell ref="E5:H5"/>
    <mergeCell ref="A32:H32"/>
    <mergeCell ref="A4:H4"/>
    <mergeCell ref="A2:H2"/>
    <mergeCell ref="A3:H3"/>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17"/>
  <sheetViews>
    <sheetView showRuler="0" workbookViewId="0">
      <selection activeCell="A3" sqref="A3:B3"/>
    </sheetView>
  </sheetViews>
  <sheetFormatPr baseColWidth="10" defaultColWidth="12.83203125" defaultRowHeight="13"/>
  <cols>
    <col min="1" max="1" width="59.6640625" customWidth="1"/>
    <col min="2" max="4" width="16.83203125" customWidth="1"/>
  </cols>
  <sheetData>
    <row r="1" spans="1:2" ht="14">
      <c r="A1" s="239" t="str">
        <f>HYPERLINK("#'Index'!A1","Back to index")</f>
        <v>Back to index</v>
      </c>
    </row>
    <row r="2" spans="1:2" ht="25" customHeight="1">
      <c r="A2" s="310" t="s">
        <v>49</v>
      </c>
      <c r="B2" s="310"/>
    </row>
    <row r="3" spans="1:2" ht="22.5" customHeight="1">
      <c r="A3" s="312" t="s">
        <v>26</v>
      </c>
      <c r="B3" s="312"/>
    </row>
    <row r="4" spans="1:2">
      <c r="A4" s="323"/>
      <c r="B4" s="323"/>
    </row>
    <row r="5" spans="1:2" ht="17">
      <c r="A5" s="5" t="s">
        <v>701</v>
      </c>
      <c r="B5" s="29" t="s">
        <v>50</v>
      </c>
    </row>
    <row r="6" spans="1:2" ht="19">
      <c r="A6" s="6" t="s">
        <v>702</v>
      </c>
      <c r="B6" s="178">
        <v>4091732</v>
      </c>
    </row>
    <row r="7" spans="1:2" ht="17">
      <c r="A7" s="7" t="s">
        <v>703</v>
      </c>
      <c r="B7" s="179">
        <v>2956296</v>
      </c>
    </row>
    <row r="8" spans="1:2" ht="19">
      <c r="A8" s="7" t="s">
        <v>704</v>
      </c>
      <c r="B8" s="179">
        <v>862310</v>
      </c>
    </row>
    <row r="9" spans="1:2" ht="17">
      <c r="A9" s="16" t="s">
        <v>705</v>
      </c>
      <c r="B9" s="179">
        <v>1483</v>
      </c>
    </row>
    <row r="10" spans="1:2" ht="17">
      <c r="A10" s="7" t="s">
        <v>706</v>
      </c>
      <c r="B10" s="179">
        <v>90</v>
      </c>
    </row>
    <row r="11" spans="1:2" ht="17">
      <c r="A11" s="7" t="s">
        <v>707</v>
      </c>
      <c r="B11" s="179">
        <v>6418</v>
      </c>
    </row>
    <row r="12" spans="1:2" ht="17">
      <c r="A12" s="7" t="s">
        <v>708</v>
      </c>
      <c r="B12" s="179">
        <v>2215</v>
      </c>
    </row>
    <row r="13" spans="1:2" ht="17">
      <c r="A13" s="7" t="s">
        <v>709</v>
      </c>
      <c r="B13" s="179">
        <v>4386</v>
      </c>
    </row>
    <row r="14" spans="1:2" ht="17">
      <c r="A14" s="7" t="s">
        <v>710</v>
      </c>
      <c r="B14" s="179">
        <v>84</v>
      </c>
    </row>
    <row r="15" spans="1:2" ht="17">
      <c r="A15" s="7" t="s">
        <v>711</v>
      </c>
      <c r="B15" s="179">
        <v>311</v>
      </c>
    </row>
    <row r="16" spans="1:2" ht="17">
      <c r="A16" s="21" t="s">
        <v>712</v>
      </c>
      <c r="B16" s="180">
        <v>61</v>
      </c>
    </row>
    <row r="17" spans="1:2" ht="16">
      <c r="A17" s="63"/>
      <c r="B17" s="73"/>
    </row>
  </sheetData>
  <mergeCells count="3">
    <mergeCell ref="A4:B4"/>
    <mergeCell ref="A2:B2"/>
    <mergeCell ref="A3:B3"/>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B8"/>
  <sheetViews>
    <sheetView showRuler="0" workbookViewId="0">
      <selection activeCell="A2" sqref="A2:B2"/>
    </sheetView>
  </sheetViews>
  <sheetFormatPr baseColWidth="10" defaultColWidth="12.83203125" defaultRowHeight="13"/>
  <cols>
    <col min="1" max="1" width="76.1640625" customWidth="1"/>
    <col min="2" max="4" width="16.83203125" customWidth="1"/>
  </cols>
  <sheetData>
    <row r="1" spans="1:2" ht="14">
      <c r="A1" s="239" t="str">
        <f>HYPERLINK("#'Index'!A1","Back to index")</f>
        <v>Back to index</v>
      </c>
    </row>
    <row r="2" spans="1:2" ht="27" customHeight="1">
      <c r="A2" s="310" t="s">
        <v>49</v>
      </c>
      <c r="B2" s="310"/>
    </row>
    <row r="3" spans="1:2" ht="22.5" customHeight="1">
      <c r="A3" s="312" t="s">
        <v>713</v>
      </c>
      <c r="B3" s="312"/>
    </row>
    <row r="4" spans="1:2">
      <c r="A4" s="323"/>
      <c r="B4" s="323"/>
    </row>
    <row r="5" spans="1:2" ht="17">
      <c r="A5" s="5" t="s">
        <v>714</v>
      </c>
      <c r="B5" s="29" t="s">
        <v>50</v>
      </c>
    </row>
    <row r="6" spans="1:2" ht="17">
      <c r="A6" s="6" t="s">
        <v>715</v>
      </c>
      <c r="B6" s="59">
        <v>2498401</v>
      </c>
    </row>
    <row r="7" spans="1:2" ht="17">
      <c r="A7" s="40" t="s">
        <v>716</v>
      </c>
      <c r="B7" s="62">
        <v>864709</v>
      </c>
    </row>
    <row r="8" spans="1:2" ht="46.75" customHeight="1">
      <c r="A8" s="391" t="s">
        <v>1183</v>
      </c>
      <c r="B8" s="391"/>
    </row>
  </sheetData>
  <mergeCells count="4">
    <mergeCell ref="A8:B8"/>
    <mergeCell ref="A4:B4"/>
    <mergeCell ref="A2:B2"/>
    <mergeCell ref="A3:B3"/>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17"/>
  <sheetViews>
    <sheetView showRuler="0" workbookViewId="0">
      <selection activeCell="A2" sqref="A2:B2"/>
    </sheetView>
  </sheetViews>
  <sheetFormatPr baseColWidth="10" defaultColWidth="12.83203125" defaultRowHeight="13"/>
  <cols>
    <col min="1" max="1" width="67.1640625" customWidth="1"/>
    <col min="2" max="2" width="19.83203125" customWidth="1"/>
    <col min="3" max="4" width="16.83203125" customWidth="1"/>
  </cols>
  <sheetData>
    <row r="1" spans="1:2" ht="14">
      <c r="A1" s="239" t="str">
        <f>HYPERLINK("#'Index'!A1","Back to index")</f>
        <v>Back to index</v>
      </c>
    </row>
    <row r="2" spans="1:2" ht="25" customHeight="1">
      <c r="A2" s="310" t="s">
        <v>49</v>
      </c>
      <c r="B2" s="310"/>
    </row>
    <row r="3" spans="1:2" ht="22.5" customHeight="1">
      <c r="A3" s="312" t="s">
        <v>27</v>
      </c>
      <c r="B3" s="312"/>
    </row>
    <row r="4" spans="1:2">
      <c r="A4" s="323"/>
      <c r="B4" s="323"/>
    </row>
    <row r="5" spans="1:2" ht="17">
      <c r="A5" s="181" t="s">
        <v>464</v>
      </c>
      <c r="B5" s="29" t="s">
        <v>50</v>
      </c>
    </row>
    <row r="6" spans="1:2" ht="17">
      <c r="A6" s="301" t="s">
        <v>717</v>
      </c>
      <c r="B6" s="306">
        <v>0.45</v>
      </c>
    </row>
    <row r="7" spans="1:2" ht="17">
      <c r="A7" s="295" t="s">
        <v>718</v>
      </c>
      <c r="B7" s="308">
        <v>0.38</v>
      </c>
    </row>
    <row r="8" spans="1:2" ht="17">
      <c r="A8" s="295" t="s">
        <v>719</v>
      </c>
      <c r="B8" s="308">
        <v>0.70000000000000007</v>
      </c>
    </row>
    <row r="9" spans="1:2" ht="17">
      <c r="A9" s="295" t="s">
        <v>720</v>
      </c>
      <c r="B9" s="308">
        <v>0.36</v>
      </c>
    </row>
    <row r="10" spans="1:2" ht="17">
      <c r="A10" s="295" t="s">
        <v>721</v>
      </c>
      <c r="B10" s="308">
        <v>0.70000000000000007</v>
      </c>
    </row>
    <row r="11" spans="1:2" ht="17">
      <c r="A11" s="295" t="s">
        <v>595</v>
      </c>
      <c r="B11" s="308">
        <v>0.33</v>
      </c>
    </row>
    <row r="12" spans="1:2" ht="17">
      <c r="A12" s="295" t="s">
        <v>597</v>
      </c>
      <c r="B12" s="308">
        <v>0.57999999999999996</v>
      </c>
    </row>
    <row r="13" spans="1:2" ht="17">
      <c r="A13" s="295" t="s">
        <v>600</v>
      </c>
      <c r="B13" s="308">
        <v>1</v>
      </c>
    </row>
    <row r="14" spans="1:2" ht="17">
      <c r="A14" s="295" t="s">
        <v>722</v>
      </c>
      <c r="B14" s="308">
        <v>0.6</v>
      </c>
    </row>
    <row r="15" spans="1:2" ht="17">
      <c r="A15" s="295" t="s">
        <v>598</v>
      </c>
      <c r="B15" s="308">
        <v>0.95000000000000007</v>
      </c>
    </row>
    <row r="16" spans="1:2" ht="17">
      <c r="A16" s="181" t="s">
        <v>723</v>
      </c>
      <c r="B16" s="307">
        <v>0.67</v>
      </c>
    </row>
    <row r="17" spans="1:2">
      <c r="A17" s="182"/>
      <c r="B17" s="183"/>
    </row>
  </sheetData>
  <mergeCells count="3">
    <mergeCell ref="A4:B4"/>
    <mergeCell ref="A2:B2"/>
    <mergeCell ref="A3:B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D9"/>
  <sheetViews>
    <sheetView showRuler="0" workbookViewId="0">
      <selection activeCell="A2" sqref="A2:B2"/>
    </sheetView>
  </sheetViews>
  <sheetFormatPr baseColWidth="10" defaultColWidth="12.83203125" defaultRowHeight="13"/>
  <cols>
    <col min="1" max="1" width="56.5" customWidth="1"/>
    <col min="2" max="2" width="27" customWidth="1"/>
    <col min="3" max="4" width="16.83203125" customWidth="1"/>
  </cols>
  <sheetData>
    <row r="1" spans="1:4" ht="14">
      <c r="A1" s="239" t="str">
        <f>HYPERLINK("#'Index'!A1","Back to index")</f>
        <v>Back to index</v>
      </c>
    </row>
    <row r="2" spans="1:4" ht="26" customHeight="1">
      <c r="A2" s="310" t="s">
        <v>49</v>
      </c>
      <c r="B2" s="310"/>
    </row>
    <row r="3" spans="1:4" ht="22.5" customHeight="1">
      <c r="A3" s="312" t="s">
        <v>1184</v>
      </c>
      <c r="B3" s="312"/>
      <c r="C3" s="271"/>
      <c r="D3" s="271"/>
    </row>
    <row r="4" spans="1:4">
      <c r="A4" s="323"/>
      <c r="B4" s="323"/>
    </row>
    <row r="5" spans="1:4" ht="34">
      <c r="A5" s="184" t="s">
        <v>724</v>
      </c>
      <c r="B5" s="29" t="s">
        <v>725</v>
      </c>
    </row>
    <row r="6" spans="1:4" ht="17">
      <c r="A6" s="185" t="s">
        <v>524</v>
      </c>
      <c r="B6" s="59">
        <v>4207</v>
      </c>
    </row>
    <row r="7" spans="1:4" ht="17">
      <c r="A7" s="169" t="s">
        <v>726</v>
      </c>
      <c r="B7" s="61">
        <v>1021</v>
      </c>
    </row>
    <row r="8" spans="1:4" ht="17">
      <c r="A8" s="174" t="s">
        <v>727</v>
      </c>
      <c r="B8" s="62">
        <v>1216</v>
      </c>
    </row>
    <row r="9" spans="1:4">
      <c r="A9" s="44"/>
      <c r="B9" s="44"/>
    </row>
  </sheetData>
  <mergeCells count="3">
    <mergeCell ref="A2:B2"/>
    <mergeCell ref="A3:B3"/>
    <mergeCell ref="A4:B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6"/>
  <sheetViews>
    <sheetView showRuler="0" workbookViewId="0">
      <selection activeCell="A2" sqref="A2:C2"/>
    </sheetView>
  </sheetViews>
  <sheetFormatPr baseColWidth="10" defaultColWidth="12.83203125" defaultRowHeight="13"/>
  <cols>
    <col min="1" max="1" width="24.1640625" customWidth="1"/>
    <col min="2" max="2" width="33" customWidth="1"/>
    <col min="3" max="3" width="145.1640625" customWidth="1"/>
  </cols>
  <sheetData>
    <row r="1" spans="1:4" ht="14">
      <c r="A1" s="239" t="str">
        <f>HYPERLINK("#'Index'!A1","Back to index")</f>
        <v>Back to index</v>
      </c>
    </row>
    <row r="2" spans="1:4" ht="25" customHeight="1">
      <c r="A2" s="310" t="s">
        <v>49</v>
      </c>
      <c r="B2" s="311"/>
      <c r="C2" s="311"/>
    </row>
    <row r="3" spans="1:4" ht="22.5" customHeight="1">
      <c r="A3" s="312" t="s">
        <v>178</v>
      </c>
      <c r="B3" s="311"/>
      <c r="C3" s="311"/>
      <c r="D3" s="27"/>
    </row>
    <row r="4" spans="1:4">
      <c r="A4" s="323"/>
      <c r="B4" s="323"/>
      <c r="C4" s="323"/>
    </row>
    <row r="6" spans="1:4" ht="19" customHeight="1">
      <c r="A6" s="326" t="s">
        <v>179</v>
      </c>
      <c r="B6" s="24" t="s">
        <v>180</v>
      </c>
      <c r="C6" s="24" t="s">
        <v>181</v>
      </c>
    </row>
    <row r="7" spans="1:4" ht="40" customHeight="1">
      <c r="A7" s="327"/>
      <c r="B7" s="25" t="s">
        <v>182</v>
      </c>
      <c r="C7" s="25" t="s">
        <v>183</v>
      </c>
    </row>
    <row r="8" spans="1:4" ht="20" customHeight="1">
      <c r="A8" s="328"/>
      <c r="B8" s="25" t="s">
        <v>184</v>
      </c>
      <c r="C8" s="25" t="s">
        <v>185</v>
      </c>
    </row>
    <row r="9" spans="1:4" ht="131" customHeight="1">
      <c r="A9" s="329" t="s">
        <v>1106</v>
      </c>
      <c r="B9" s="25" t="s">
        <v>186</v>
      </c>
      <c r="C9" s="25" t="s">
        <v>1095</v>
      </c>
    </row>
    <row r="10" spans="1:4" ht="117" customHeight="1">
      <c r="A10" s="328"/>
      <c r="B10" s="25" t="s">
        <v>187</v>
      </c>
      <c r="C10" s="25" t="s">
        <v>1096</v>
      </c>
    </row>
    <row r="11" spans="1:4" ht="35.75" customHeight="1">
      <c r="A11" s="330" t="s">
        <v>1107</v>
      </c>
      <c r="B11" s="330"/>
      <c r="C11" s="25" t="s">
        <v>188</v>
      </c>
    </row>
    <row r="12" spans="1:4" ht="35.75" customHeight="1">
      <c r="A12" s="330" t="s">
        <v>189</v>
      </c>
      <c r="B12" s="330"/>
      <c r="C12" s="25" t="s">
        <v>190</v>
      </c>
    </row>
    <row r="13" spans="1:4" ht="52.5" customHeight="1">
      <c r="A13" s="330" t="s">
        <v>1108</v>
      </c>
      <c r="B13" s="330"/>
      <c r="C13" s="25" t="s">
        <v>191</v>
      </c>
    </row>
    <row r="14" spans="1:4" ht="20" customHeight="1">
      <c r="A14" s="330" t="s">
        <v>192</v>
      </c>
      <c r="B14" s="330"/>
      <c r="C14" s="25" t="s">
        <v>193</v>
      </c>
    </row>
    <row r="15" spans="1:4" ht="21" customHeight="1">
      <c r="A15" s="331" t="s">
        <v>194</v>
      </c>
      <c r="B15" s="331"/>
      <c r="C15" s="26" t="s">
        <v>195</v>
      </c>
    </row>
    <row r="16" spans="1:4">
      <c r="A16" s="324"/>
      <c r="B16" s="324"/>
      <c r="C16" s="324"/>
    </row>
  </sheetData>
  <mergeCells count="11">
    <mergeCell ref="A12:B12"/>
    <mergeCell ref="A13:B13"/>
    <mergeCell ref="A14:B14"/>
    <mergeCell ref="A16:C16"/>
    <mergeCell ref="A15:B15"/>
    <mergeCell ref="A2:C2"/>
    <mergeCell ref="A3:C3"/>
    <mergeCell ref="A6:A8"/>
    <mergeCell ref="A9:A10"/>
    <mergeCell ref="A11:B11"/>
    <mergeCell ref="A4:C4"/>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11"/>
  <sheetViews>
    <sheetView showRuler="0" workbookViewId="0">
      <selection activeCell="A2" sqref="A2:B2"/>
    </sheetView>
  </sheetViews>
  <sheetFormatPr baseColWidth="10" defaultColWidth="12.83203125" defaultRowHeight="13"/>
  <cols>
    <col min="1" max="1" width="67.83203125" customWidth="1"/>
    <col min="2" max="2" width="30" customWidth="1"/>
    <col min="3" max="4" width="16.83203125" customWidth="1"/>
  </cols>
  <sheetData>
    <row r="1" spans="1:2" ht="14">
      <c r="A1" s="239" t="str">
        <f>HYPERLINK("#'Index'!A1","Back to index")</f>
        <v>Back to index</v>
      </c>
    </row>
    <row r="2" spans="1:2" ht="25" customHeight="1">
      <c r="A2" s="310" t="s">
        <v>49</v>
      </c>
      <c r="B2" s="310"/>
    </row>
    <row r="3" spans="1:2" ht="22.5" customHeight="1">
      <c r="A3" s="312" t="s">
        <v>28</v>
      </c>
      <c r="B3" s="312"/>
    </row>
    <row r="4" spans="1:2">
      <c r="A4" s="323"/>
      <c r="B4" s="323"/>
    </row>
    <row r="5" spans="1:2" ht="34">
      <c r="A5" s="184" t="s">
        <v>147</v>
      </c>
      <c r="B5" s="29" t="s">
        <v>725</v>
      </c>
    </row>
    <row r="6" spans="1:2" ht="17">
      <c r="A6" s="14" t="s">
        <v>148</v>
      </c>
      <c r="B6" s="59">
        <v>6127</v>
      </c>
    </row>
    <row r="7" spans="1:2" ht="17">
      <c r="A7" s="169" t="s">
        <v>149</v>
      </c>
      <c r="B7" s="61">
        <v>1063</v>
      </c>
    </row>
    <row r="8" spans="1:2" ht="19">
      <c r="A8" s="169" t="s">
        <v>728</v>
      </c>
      <c r="B8" s="38" t="s">
        <v>729</v>
      </c>
    </row>
    <row r="9" spans="1:2" ht="17">
      <c r="A9" s="169" t="s">
        <v>730</v>
      </c>
      <c r="B9" s="38" t="s">
        <v>729</v>
      </c>
    </row>
    <row r="10" spans="1:2" ht="17">
      <c r="A10" s="186" t="s">
        <v>731</v>
      </c>
      <c r="B10" s="104">
        <v>7190</v>
      </c>
    </row>
    <row r="11" spans="1:2" ht="30.75" customHeight="1">
      <c r="A11" s="324" t="s">
        <v>732</v>
      </c>
      <c r="B11" s="324"/>
    </row>
  </sheetData>
  <mergeCells count="4">
    <mergeCell ref="A11:B11"/>
    <mergeCell ref="A2:B2"/>
    <mergeCell ref="A3:B3"/>
    <mergeCell ref="A4:B4"/>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F11"/>
  <sheetViews>
    <sheetView showRuler="0" workbookViewId="0">
      <selection activeCell="A2" sqref="A2:F2"/>
    </sheetView>
  </sheetViews>
  <sheetFormatPr baseColWidth="10" defaultColWidth="12.83203125" defaultRowHeight="13"/>
  <cols>
    <col min="1" max="1" width="56.5" customWidth="1"/>
    <col min="2" max="4" width="16.83203125" customWidth="1"/>
  </cols>
  <sheetData>
    <row r="1" spans="1:6" ht="14">
      <c r="A1" s="239" t="str">
        <f>HYPERLINK("#'Index'!A1","Back to index")</f>
        <v>Back to index</v>
      </c>
    </row>
    <row r="2" spans="1:6" ht="25" customHeight="1">
      <c r="A2" s="310" t="s">
        <v>49</v>
      </c>
      <c r="B2" s="311"/>
      <c r="C2" s="311"/>
      <c r="D2" s="311"/>
      <c r="E2" s="311"/>
      <c r="F2" s="311"/>
    </row>
    <row r="3" spans="1:6" ht="22.5" customHeight="1">
      <c r="A3" s="312" t="s">
        <v>733</v>
      </c>
      <c r="B3" s="311"/>
      <c r="C3" s="311"/>
      <c r="D3" s="311"/>
      <c r="E3" s="311"/>
      <c r="F3" s="311"/>
    </row>
    <row r="4" spans="1:6">
      <c r="A4" s="323"/>
      <c r="B4" s="323"/>
      <c r="C4" s="323"/>
      <c r="D4" s="323"/>
      <c r="E4" s="323"/>
      <c r="F4" s="323"/>
    </row>
    <row r="5" spans="1:6" ht="16">
      <c r="A5" s="2"/>
      <c r="B5" s="389" t="s">
        <v>734</v>
      </c>
      <c r="C5" s="389"/>
      <c r="D5" s="389"/>
      <c r="E5" s="389"/>
      <c r="F5" s="389"/>
    </row>
    <row r="6" spans="1:6" ht="34">
      <c r="A6" s="184"/>
      <c r="B6" s="93" t="s">
        <v>148</v>
      </c>
      <c r="C6" s="93" t="s">
        <v>149</v>
      </c>
      <c r="D6" s="93" t="s">
        <v>735</v>
      </c>
      <c r="E6" s="93" t="s">
        <v>736</v>
      </c>
      <c r="F6" s="93" t="s">
        <v>737</v>
      </c>
    </row>
    <row r="7" spans="1:6" ht="17">
      <c r="A7" s="185" t="s">
        <v>1185</v>
      </c>
      <c r="B7" s="59">
        <v>6127</v>
      </c>
      <c r="C7" s="59">
        <v>1063</v>
      </c>
      <c r="D7" s="34" t="s">
        <v>729</v>
      </c>
      <c r="E7" s="34" t="s">
        <v>729</v>
      </c>
      <c r="F7" s="59">
        <v>7190</v>
      </c>
    </row>
    <row r="8" spans="1:6" ht="17">
      <c r="A8" s="169" t="s">
        <v>738</v>
      </c>
      <c r="B8" s="61">
        <v>5600</v>
      </c>
      <c r="C8" s="61">
        <v>955</v>
      </c>
      <c r="D8" s="38" t="s">
        <v>729</v>
      </c>
      <c r="E8" s="38" t="s">
        <v>729</v>
      </c>
      <c r="F8" s="61">
        <v>6555</v>
      </c>
    </row>
    <row r="9" spans="1:6" ht="17">
      <c r="A9" s="174" t="s">
        <v>739</v>
      </c>
      <c r="B9" s="62">
        <v>527</v>
      </c>
      <c r="C9" s="62">
        <v>108</v>
      </c>
      <c r="D9" s="187" t="s">
        <v>729</v>
      </c>
      <c r="E9" s="187" t="s">
        <v>729</v>
      </c>
      <c r="F9" s="62">
        <v>635</v>
      </c>
    </row>
    <row r="10" spans="1:6" ht="14.25" customHeight="1">
      <c r="A10" s="390" t="s">
        <v>740</v>
      </c>
      <c r="B10" s="390"/>
      <c r="C10" s="390"/>
      <c r="D10" s="390"/>
      <c r="E10" s="390"/>
      <c r="F10" s="390"/>
    </row>
    <row r="11" spans="1:6" ht="14.25" customHeight="1">
      <c r="A11" s="392" t="s">
        <v>741</v>
      </c>
      <c r="B11" s="392"/>
      <c r="C11" s="392"/>
      <c r="D11" s="392"/>
      <c r="E11" s="392"/>
      <c r="F11" s="392"/>
    </row>
  </sheetData>
  <mergeCells count="6">
    <mergeCell ref="A2:F2"/>
    <mergeCell ref="A3:F3"/>
    <mergeCell ref="B5:F5"/>
    <mergeCell ref="A11:F11"/>
    <mergeCell ref="A10:F10"/>
    <mergeCell ref="A4:F4"/>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D12"/>
  <sheetViews>
    <sheetView showRuler="0" workbookViewId="0">
      <selection activeCell="A2" sqref="A2:D2"/>
    </sheetView>
  </sheetViews>
  <sheetFormatPr baseColWidth="10" defaultColWidth="12.83203125" defaultRowHeight="13"/>
  <cols>
    <col min="1" max="1" width="23.83203125" customWidth="1"/>
    <col min="2" max="4" width="36.83203125" customWidth="1"/>
  </cols>
  <sheetData>
    <row r="1" spans="1:4" ht="14">
      <c r="A1" s="239" t="str">
        <f>HYPERLINK("#'Index'!A1","Back to index")</f>
        <v>Back to index</v>
      </c>
    </row>
    <row r="2" spans="1:4" ht="25" customHeight="1">
      <c r="A2" s="310" t="s">
        <v>49</v>
      </c>
      <c r="B2" s="311"/>
      <c r="C2" s="311"/>
      <c r="D2" s="311"/>
    </row>
    <row r="3" spans="1:4" ht="22.5" customHeight="1">
      <c r="A3" s="312" t="s">
        <v>1186</v>
      </c>
      <c r="B3" s="311"/>
      <c r="C3" s="311"/>
      <c r="D3" s="311"/>
    </row>
    <row r="4" spans="1:4">
      <c r="A4" s="323"/>
      <c r="B4" s="323"/>
      <c r="C4" s="323"/>
      <c r="D4" s="323"/>
    </row>
    <row r="5" spans="1:4" ht="17">
      <c r="A5" s="184"/>
      <c r="B5" s="348" t="s">
        <v>742</v>
      </c>
      <c r="C5" s="349"/>
      <c r="D5" s="98" t="s">
        <v>743</v>
      </c>
    </row>
    <row r="6" spans="1:4" ht="34">
      <c r="A6" s="147" t="s">
        <v>744</v>
      </c>
      <c r="B6" s="188" t="s">
        <v>745</v>
      </c>
      <c r="C6" s="188" t="s">
        <v>746</v>
      </c>
      <c r="D6" s="188" t="s">
        <v>747</v>
      </c>
    </row>
    <row r="7" spans="1:4" ht="17">
      <c r="A7" s="185" t="s">
        <v>748</v>
      </c>
      <c r="B7" s="76" t="s">
        <v>675</v>
      </c>
      <c r="C7" s="76" t="s">
        <v>749</v>
      </c>
      <c r="D7" s="76" t="s">
        <v>675</v>
      </c>
    </row>
    <row r="8" spans="1:4" ht="17">
      <c r="A8" s="169" t="s">
        <v>750</v>
      </c>
      <c r="B8" s="78" t="s">
        <v>675</v>
      </c>
      <c r="C8" s="78" t="s">
        <v>675</v>
      </c>
      <c r="D8" s="78" t="s">
        <v>675</v>
      </c>
    </row>
    <row r="9" spans="1:4" ht="17">
      <c r="A9" s="169" t="s">
        <v>751</v>
      </c>
      <c r="B9" s="78" t="s">
        <v>675</v>
      </c>
      <c r="C9" s="78" t="s">
        <v>675</v>
      </c>
      <c r="D9" s="189" t="s">
        <v>752</v>
      </c>
    </row>
    <row r="10" spans="1:4" ht="17">
      <c r="A10" s="169" t="s">
        <v>753</v>
      </c>
      <c r="B10" s="78" t="s">
        <v>675</v>
      </c>
      <c r="C10" s="78" t="s">
        <v>675</v>
      </c>
      <c r="D10" s="189" t="s">
        <v>726</v>
      </c>
    </row>
    <row r="11" spans="1:4" ht="34">
      <c r="A11" s="174" t="s">
        <v>754</v>
      </c>
      <c r="B11" s="190" t="s">
        <v>755</v>
      </c>
      <c r="C11" s="51" t="s">
        <v>675</v>
      </c>
      <c r="D11" s="51" t="s">
        <v>756</v>
      </c>
    </row>
    <row r="12" spans="1:4" ht="16">
      <c r="A12" s="63"/>
      <c r="B12" s="63"/>
      <c r="C12" s="63"/>
      <c r="D12" s="63"/>
    </row>
  </sheetData>
  <mergeCells count="4">
    <mergeCell ref="A2:D2"/>
    <mergeCell ref="A3:D3"/>
    <mergeCell ref="B5:C5"/>
    <mergeCell ref="A4:D4"/>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C11"/>
  <sheetViews>
    <sheetView showRuler="0" workbookViewId="0">
      <selection activeCell="A2" sqref="A2:C2"/>
    </sheetView>
  </sheetViews>
  <sheetFormatPr baseColWidth="10" defaultColWidth="12.83203125" defaultRowHeight="13"/>
  <cols>
    <col min="1" max="1" width="64.1640625" customWidth="1"/>
    <col min="2" max="4" width="16.83203125" customWidth="1"/>
  </cols>
  <sheetData>
    <row r="1" spans="1:3" ht="14">
      <c r="A1" s="239" t="str">
        <f>HYPERLINK("#'Index'!A1","Back to index")</f>
        <v>Back to index</v>
      </c>
    </row>
    <row r="2" spans="1:3" ht="27" customHeight="1">
      <c r="A2" s="310" t="s">
        <v>49</v>
      </c>
      <c r="B2" s="310"/>
      <c r="C2" s="310"/>
    </row>
    <row r="3" spans="1:3" ht="22.5" customHeight="1">
      <c r="A3" s="312" t="s">
        <v>29</v>
      </c>
      <c r="B3" s="312"/>
      <c r="C3" s="312"/>
    </row>
    <row r="4" spans="1:3">
      <c r="A4" s="323"/>
      <c r="B4" s="323"/>
      <c r="C4" s="323"/>
    </row>
    <row r="5" spans="1:3" ht="34">
      <c r="A5" s="184" t="s">
        <v>147</v>
      </c>
      <c r="B5" s="29" t="s">
        <v>757</v>
      </c>
      <c r="C5" s="29" t="s">
        <v>758</v>
      </c>
    </row>
    <row r="6" spans="1:3" ht="17">
      <c r="A6" s="185" t="s">
        <v>149</v>
      </c>
      <c r="B6" s="59">
        <v>41</v>
      </c>
      <c r="C6" s="59">
        <v>20</v>
      </c>
    </row>
    <row r="7" spans="1:3" ht="17">
      <c r="A7" s="169" t="s">
        <v>148</v>
      </c>
      <c r="B7" s="61">
        <v>161</v>
      </c>
      <c r="C7" s="61">
        <v>80</v>
      </c>
    </row>
    <row r="8" spans="1:3" ht="19">
      <c r="A8" s="169" t="s">
        <v>728</v>
      </c>
      <c r="B8" s="38" t="s">
        <v>729</v>
      </c>
      <c r="C8" s="38" t="s">
        <v>729</v>
      </c>
    </row>
    <row r="9" spans="1:3" ht="17">
      <c r="A9" s="169" t="s">
        <v>759</v>
      </c>
      <c r="B9" s="38" t="s">
        <v>729</v>
      </c>
      <c r="C9" s="38" t="s">
        <v>729</v>
      </c>
    </row>
    <row r="10" spans="1:3" ht="17">
      <c r="A10" s="186" t="s">
        <v>737</v>
      </c>
      <c r="B10" s="104">
        <v>202</v>
      </c>
      <c r="C10" s="104">
        <v>100</v>
      </c>
    </row>
    <row r="11" spans="1:3" ht="30.75" customHeight="1">
      <c r="A11" s="324" t="s">
        <v>732</v>
      </c>
      <c r="B11" s="324"/>
      <c r="C11" s="324"/>
    </row>
  </sheetData>
  <mergeCells count="4">
    <mergeCell ref="A11:C11"/>
    <mergeCell ref="A4:C4"/>
    <mergeCell ref="A2:C2"/>
    <mergeCell ref="A3:C3"/>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B10"/>
  <sheetViews>
    <sheetView showRuler="0" workbookViewId="0">
      <selection activeCell="A2" sqref="A2:B2"/>
    </sheetView>
  </sheetViews>
  <sheetFormatPr baseColWidth="10" defaultColWidth="12.83203125" defaultRowHeight="13"/>
  <cols>
    <col min="1" max="1" width="70.5" customWidth="1"/>
    <col min="2" max="4" width="16.83203125" customWidth="1"/>
  </cols>
  <sheetData>
    <row r="1" spans="1:2" ht="14">
      <c r="A1" s="239" t="str">
        <f>HYPERLINK("#'Index'!A1","Back to index")</f>
        <v>Back to index</v>
      </c>
    </row>
    <row r="2" spans="1:2" ht="25" customHeight="1">
      <c r="A2" s="310" t="s">
        <v>49</v>
      </c>
      <c r="B2" s="311"/>
    </row>
    <row r="3" spans="1:2" ht="22.5" customHeight="1">
      <c r="A3" s="312" t="s">
        <v>30</v>
      </c>
      <c r="B3" s="311"/>
    </row>
    <row r="4" spans="1:2">
      <c r="A4" s="323"/>
      <c r="B4" s="323"/>
    </row>
    <row r="5" spans="1:2" ht="34">
      <c r="A5" s="184" t="s">
        <v>760</v>
      </c>
      <c r="B5" s="29" t="s">
        <v>757</v>
      </c>
    </row>
    <row r="6" spans="1:2" ht="17">
      <c r="A6" s="185" t="s">
        <v>761</v>
      </c>
      <c r="B6" s="59">
        <v>1371</v>
      </c>
    </row>
    <row r="7" spans="1:2" ht="17">
      <c r="A7" s="169" t="s">
        <v>762</v>
      </c>
      <c r="B7" s="61">
        <v>3815</v>
      </c>
    </row>
    <row r="8" spans="1:2" ht="17">
      <c r="A8" s="169" t="s">
        <v>614</v>
      </c>
      <c r="B8" s="61">
        <v>2004</v>
      </c>
    </row>
    <row r="9" spans="1:2" ht="17">
      <c r="A9" s="186" t="s">
        <v>737</v>
      </c>
      <c r="B9" s="104">
        <v>7190</v>
      </c>
    </row>
    <row r="10" spans="1:2" ht="16">
      <c r="A10" s="63"/>
      <c r="B10" s="73"/>
    </row>
  </sheetData>
  <mergeCells count="3">
    <mergeCell ref="A2:B2"/>
    <mergeCell ref="A3:B3"/>
    <mergeCell ref="A4:B4"/>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B10"/>
  <sheetViews>
    <sheetView showRuler="0" workbookViewId="0">
      <selection activeCell="A2" sqref="A2:B2"/>
    </sheetView>
  </sheetViews>
  <sheetFormatPr baseColWidth="10" defaultColWidth="12.83203125" defaultRowHeight="13"/>
  <cols>
    <col min="1" max="1" width="69.6640625" customWidth="1"/>
    <col min="2" max="2" width="27.5" customWidth="1"/>
    <col min="3" max="4" width="16.83203125" customWidth="1"/>
  </cols>
  <sheetData>
    <row r="1" spans="1:2" ht="14">
      <c r="A1" s="239" t="str">
        <f>HYPERLINK("#'Index'!A1","Back to index")</f>
        <v>Back to index</v>
      </c>
    </row>
    <row r="2" spans="1:2" ht="25" customHeight="1">
      <c r="A2" s="310" t="s">
        <v>49</v>
      </c>
      <c r="B2" s="310"/>
    </row>
    <row r="3" spans="1:2" ht="22.5" customHeight="1">
      <c r="A3" s="312" t="s">
        <v>31</v>
      </c>
      <c r="B3" s="312"/>
    </row>
    <row r="4" spans="1:2">
      <c r="A4" s="323"/>
      <c r="B4" s="323"/>
    </row>
    <row r="5" spans="1:2" ht="51">
      <c r="A5" s="184" t="s">
        <v>147</v>
      </c>
      <c r="B5" s="29" t="s">
        <v>763</v>
      </c>
    </row>
    <row r="6" spans="1:2" ht="17">
      <c r="A6" s="185" t="s">
        <v>149</v>
      </c>
      <c r="B6" s="191">
        <v>22.7</v>
      </c>
    </row>
    <row r="7" spans="1:2" ht="17">
      <c r="A7" s="169" t="s">
        <v>148</v>
      </c>
      <c r="B7" s="192">
        <v>22.8</v>
      </c>
    </row>
    <row r="8" spans="1:2" ht="19">
      <c r="A8" s="169" t="s">
        <v>728</v>
      </c>
      <c r="B8" s="38" t="s">
        <v>729</v>
      </c>
    </row>
    <row r="9" spans="1:2" ht="17">
      <c r="A9" s="186" t="s">
        <v>737</v>
      </c>
      <c r="B9" s="193">
        <v>22.8</v>
      </c>
    </row>
    <row r="10" spans="1:2" ht="30.75" customHeight="1">
      <c r="A10" s="324" t="s">
        <v>764</v>
      </c>
      <c r="B10" s="324"/>
    </row>
  </sheetData>
  <mergeCells count="4">
    <mergeCell ref="A10:B10"/>
    <mergeCell ref="A4:B4"/>
    <mergeCell ref="A2:B2"/>
    <mergeCell ref="A3:B3"/>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17"/>
  <sheetViews>
    <sheetView showRuler="0" workbookViewId="0">
      <selection activeCell="A2" sqref="A2:B2"/>
    </sheetView>
  </sheetViews>
  <sheetFormatPr baseColWidth="10" defaultColWidth="12.83203125" defaultRowHeight="13"/>
  <cols>
    <col min="1" max="1" width="98.5" customWidth="1"/>
    <col min="2" max="4" width="16.83203125" customWidth="1"/>
  </cols>
  <sheetData>
    <row r="1" spans="1:2" ht="14">
      <c r="A1" s="239" t="str">
        <f>HYPERLINK("#'Index'!A1","Back to index")</f>
        <v>Back to index</v>
      </c>
    </row>
    <row r="2" spans="1:2" ht="25" customHeight="1">
      <c r="A2" s="310" t="s">
        <v>49</v>
      </c>
      <c r="B2" s="310"/>
    </row>
    <row r="3" spans="1:2" ht="22.5" customHeight="1">
      <c r="A3" s="312" t="s">
        <v>32</v>
      </c>
      <c r="B3" s="312"/>
    </row>
    <row r="4" spans="1:2">
      <c r="A4" s="323"/>
      <c r="B4" s="323"/>
    </row>
    <row r="5" spans="1:2" ht="17">
      <c r="A5" s="184"/>
      <c r="B5" s="29" t="s">
        <v>734</v>
      </c>
    </row>
    <row r="6" spans="1:2" ht="19">
      <c r="A6" s="194" t="s">
        <v>765</v>
      </c>
      <c r="B6" s="302">
        <v>1</v>
      </c>
    </row>
    <row r="7" spans="1:2" ht="17">
      <c r="A7" s="169" t="s">
        <v>1187</v>
      </c>
      <c r="B7" s="196">
        <v>0</v>
      </c>
    </row>
    <row r="8" spans="1:2" ht="17">
      <c r="A8" s="169" t="s">
        <v>766</v>
      </c>
      <c r="B8" s="196">
        <v>1</v>
      </c>
    </row>
    <row r="9" spans="1:2" ht="19">
      <c r="A9" s="170" t="s">
        <v>767</v>
      </c>
      <c r="B9" s="303">
        <v>316</v>
      </c>
    </row>
    <row r="10" spans="1:2" ht="17">
      <c r="A10" s="169" t="s">
        <v>768</v>
      </c>
      <c r="B10" s="196">
        <v>234</v>
      </c>
    </row>
    <row r="11" spans="1:2" ht="17">
      <c r="A11" s="169" t="s">
        <v>769</v>
      </c>
      <c r="B11" s="196">
        <v>82</v>
      </c>
    </row>
    <row r="12" spans="1:2" ht="19">
      <c r="A12" s="170" t="s">
        <v>770</v>
      </c>
      <c r="B12" s="309">
        <v>18.899999999999999</v>
      </c>
    </row>
    <row r="13" spans="1:2" ht="17">
      <c r="A13" s="169" t="s">
        <v>771</v>
      </c>
      <c r="B13" s="192">
        <v>22.7</v>
      </c>
    </row>
    <row r="14" spans="1:2" ht="17">
      <c r="A14" s="174" t="s">
        <v>772</v>
      </c>
      <c r="B14" s="304">
        <v>12.8</v>
      </c>
    </row>
    <row r="15" spans="1:2" ht="43" customHeight="1">
      <c r="A15" s="324" t="s">
        <v>1188</v>
      </c>
      <c r="B15" s="324"/>
    </row>
    <row r="16" spans="1:2" ht="55" customHeight="1">
      <c r="A16" s="393" t="s">
        <v>773</v>
      </c>
      <c r="B16" s="393"/>
    </row>
    <row r="17" spans="1:2" ht="15.75" customHeight="1">
      <c r="A17" s="393" t="s">
        <v>774</v>
      </c>
      <c r="B17" s="393"/>
    </row>
  </sheetData>
  <mergeCells count="6">
    <mergeCell ref="A15:B15"/>
    <mergeCell ref="A16:B16"/>
    <mergeCell ref="A17:B17"/>
    <mergeCell ref="A4:B4"/>
    <mergeCell ref="A2:B2"/>
    <mergeCell ref="A3:B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B9"/>
  <sheetViews>
    <sheetView showRuler="0" workbookViewId="0">
      <selection activeCell="A2" sqref="A2:B2"/>
    </sheetView>
  </sheetViews>
  <sheetFormatPr baseColWidth="10" defaultColWidth="12.83203125" defaultRowHeight="13"/>
  <cols>
    <col min="1" max="1" width="92.83203125" customWidth="1"/>
    <col min="2" max="2" width="18.83203125" customWidth="1"/>
    <col min="3" max="4" width="16.83203125" customWidth="1"/>
  </cols>
  <sheetData>
    <row r="1" spans="1:2" ht="14">
      <c r="A1" s="239" t="str">
        <f>HYPERLINK("#'Index'!A1","Back to index")</f>
        <v>Back to index</v>
      </c>
    </row>
    <row r="2" spans="1:2" ht="25" customHeight="1">
      <c r="A2" s="310" t="s">
        <v>49</v>
      </c>
      <c r="B2" s="311"/>
    </row>
    <row r="3" spans="1:2" ht="22.5" customHeight="1">
      <c r="A3" s="312" t="s">
        <v>1189</v>
      </c>
      <c r="B3" s="311"/>
    </row>
    <row r="4" spans="1:2">
      <c r="A4" s="323"/>
      <c r="B4" s="323"/>
    </row>
    <row r="5" spans="1:2" ht="17">
      <c r="A5" s="184"/>
      <c r="B5" s="29" t="s">
        <v>734</v>
      </c>
    </row>
    <row r="6" spans="1:2" ht="17">
      <c r="A6" s="185" t="s">
        <v>775</v>
      </c>
      <c r="B6" s="195">
        <v>12</v>
      </c>
    </row>
    <row r="7" spans="1:2" ht="35.75" customHeight="1">
      <c r="A7" s="169" t="s">
        <v>776</v>
      </c>
      <c r="B7" s="196">
        <v>5</v>
      </c>
    </row>
    <row r="8" spans="1:2" ht="36">
      <c r="A8" s="174" t="s">
        <v>777</v>
      </c>
      <c r="B8" s="197">
        <v>0</v>
      </c>
    </row>
    <row r="9" spans="1:2" ht="31" customHeight="1">
      <c r="A9" s="324" t="s">
        <v>1190</v>
      </c>
      <c r="B9" s="324"/>
    </row>
  </sheetData>
  <mergeCells count="4">
    <mergeCell ref="A2:B2"/>
    <mergeCell ref="A3:B3"/>
    <mergeCell ref="A9:B9"/>
    <mergeCell ref="A4:B4"/>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T19"/>
  <sheetViews>
    <sheetView showRuler="0" workbookViewId="0">
      <selection activeCell="A2" sqref="A2:K2"/>
    </sheetView>
  </sheetViews>
  <sheetFormatPr baseColWidth="10" defaultColWidth="12.83203125" defaultRowHeight="13"/>
  <cols>
    <col min="1" max="1" width="84.6640625" customWidth="1"/>
    <col min="2" max="20" width="16.83203125" customWidth="1"/>
  </cols>
  <sheetData>
    <row r="1" spans="1:20" ht="14">
      <c r="A1" s="239" t="str">
        <f>HYPERLINK("#'Index'!A1","Back to index")</f>
        <v>Back to index</v>
      </c>
    </row>
    <row r="2" spans="1:20" ht="25" customHeight="1">
      <c r="A2" s="310" t="s">
        <v>49</v>
      </c>
      <c r="B2" s="311"/>
      <c r="C2" s="311"/>
      <c r="D2" s="311"/>
      <c r="E2" s="311"/>
      <c r="F2" s="311"/>
      <c r="G2" s="311"/>
      <c r="H2" s="311"/>
      <c r="I2" s="311"/>
      <c r="J2" s="311"/>
      <c r="K2" s="311"/>
    </row>
    <row r="3" spans="1:20" ht="22.5" customHeight="1">
      <c r="A3" s="312" t="s">
        <v>33</v>
      </c>
      <c r="B3" s="311"/>
      <c r="C3" s="311"/>
      <c r="D3" s="311"/>
      <c r="E3" s="311"/>
      <c r="F3" s="311"/>
      <c r="G3" s="311"/>
      <c r="H3" s="311"/>
      <c r="I3" s="311"/>
      <c r="J3" s="311"/>
      <c r="K3" s="311"/>
    </row>
    <row r="4" spans="1:20" ht="13" customHeight="1">
      <c r="A4" s="323"/>
      <c r="B4" s="323"/>
      <c r="C4" s="323"/>
      <c r="D4" s="323"/>
      <c r="E4" s="323"/>
      <c r="F4" s="323"/>
      <c r="G4" s="323"/>
      <c r="H4" s="323"/>
      <c r="I4" s="323"/>
      <c r="J4" s="323"/>
      <c r="K4" s="323"/>
      <c r="L4" s="323"/>
      <c r="M4" s="323"/>
      <c r="N4" s="323"/>
      <c r="O4" s="323"/>
      <c r="P4" s="323"/>
      <c r="Q4" s="323"/>
      <c r="R4" s="323"/>
      <c r="S4" s="323"/>
      <c r="T4" s="323"/>
    </row>
    <row r="5" spans="1:20" ht="18" thickBot="1">
      <c r="A5" s="291" t="s">
        <v>272</v>
      </c>
      <c r="B5" s="349" t="s">
        <v>50</v>
      </c>
      <c r="C5" s="349"/>
      <c r="D5" s="349"/>
      <c r="E5" s="349" t="s">
        <v>778</v>
      </c>
      <c r="F5" s="349"/>
      <c r="G5" s="349"/>
      <c r="H5" s="349"/>
      <c r="I5" s="349"/>
      <c r="J5" s="349"/>
      <c r="K5" s="349" t="s">
        <v>779</v>
      </c>
      <c r="L5" s="349"/>
      <c r="M5" s="349"/>
      <c r="N5" s="349"/>
      <c r="O5" s="349"/>
      <c r="P5" s="349"/>
      <c r="Q5" s="49"/>
      <c r="R5" s="49"/>
      <c r="S5" s="49"/>
      <c r="T5" s="49"/>
    </row>
    <row r="6" spans="1:20" ht="103" thickBot="1">
      <c r="A6" s="5" t="s">
        <v>780</v>
      </c>
      <c r="B6" s="94" t="s">
        <v>781</v>
      </c>
      <c r="C6" s="94" t="s">
        <v>782</v>
      </c>
      <c r="D6" s="94" t="s">
        <v>783</v>
      </c>
      <c r="E6" s="94" t="s">
        <v>784</v>
      </c>
      <c r="F6" s="94" t="s">
        <v>785</v>
      </c>
      <c r="G6" s="94" t="s">
        <v>786</v>
      </c>
      <c r="H6" s="94" t="s">
        <v>787</v>
      </c>
      <c r="I6" s="94" t="s">
        <v>788</v>
      </c>
      <c r="J6" s="94" t="s">
        <v>789</v>
      </c>
      <c r="K6" s="94" t="s">
        <v>784</v>
      </c>
      <c r="L6" s="94" t="s">
        <v>785</v>
      </c>
      <c r="M6" s="94" t="s">
        <v>786</v>
      </c>
      <c r="N6" s="94" t="s">
        <v>787</v>
      </c>
      <c r="O6" s="94" t="s">
        <v>788</v>
      </c>
      <c r="P6" s="94" t="s">
        <v>789</v>
      </c>
      <c r="Q6" s="28" t="s">
        <v>1191</v>
      </c>
      <c r="R6" s="28" t="s">
        <v>790</v>
      </c>
      <c r="S6" s="28" t="s">
        <v>791</v>
      </c>
      <c r="T6" s="28" t="s">
        <v>792</v>
      </c>
    </row>
    <row r="7" spans="1:20" ht="17">
      <c r="A7" s="147"/>
      <c r="B7" s="94"/>
      <c r="C7" s="94" t="s">
        <v>793</v>
      </c>
      <c r="D7" s="94" t="s">
        <v>239</v>
      </c>
      <c r="E7" s="94" t="s">
        <v>794</v>
      </c>
      <c r="F7" s="94" t="s">
        <v>794</v>
      </c>
      <c r="G7" s="94" t="s">
        <v>794</v>
      </c>
      <c r="H7" s="94" t="s">
        <v>794</v>
      </c>
      <c r="I7" s="94" t="s">
        <v>794</v>
      </c>
      <c r="J7" s="94" t="s">
        <v>794</v>
      </c>
      <c r="K7" s="94" t="s">
        <v>795</v>
      </c>
      <c r="L7" s="94" t="s">
        <v>795</v>
      </c>
      <c r="M7" s="94" t="s">
        <v>795</v>
      </c>
      <c r="N7" s="94" t="s">
        <v>795</v>
      </c>
      <c r="O7" s="94" t="s">
        <v>795</v>
      </c>
      <c r="P7" s="94" t="s">
        <v>795</v>
      </c>
      <c r="Q7" s="94" t="s">
        <v>795</v>
      </c>
      <c r="R7" s="94" t="s">
        <v>239</v>
      </c>
      <c r="S7" s="94" t="s">
        <v>796</v>
      </c>
      <c r="T7" s="94" t="s">
        <v>797</v>
      </c>
    </row>
    <row r="8" spans="1:20" ht="17">
      <c r="A8" s="198" t="s">
        <v>798</v>
      </c>
      <c r="B8" s="105"/>
      <c r="C8" s="105"/>
      <c r="D8" s="237"/>
      <c r="E8" s="105"/>
      <c r="F8" s="105"/>
      <c r="G8" s="105"/>
      <c r="H8" s="105"/>
      <c r="I8" s="105"/>
      <c r="J8" s="105"/>
      <c r="K8" s="105"/>
      <c r="L8" s="105"/>
      <c r="M8" s="105"/>
      <c r="N8" s="105"/>
      <c r="O8" s="105"/>
      <c r="P8" s="105"/>
      <c r="Q8" s="105"/>
      <c r="R8" s="105"/>
      <c r="S8" s="105"/>
      <c r="T8" s="76"/>
    </row>
    <row r="9" spans="1:20" ht="17">
      <c r="A9" s="79" t="s">
        <v>799</v>
      </c>
      <c r="B9" s="78"/>
      <c r="C9" s="78"/>
      <c r="D9" s="232"/>
      <c r="E9" s="78"/>
      <c r="F9" s="78"/>
      <c r="G9" s="78"/>
      <c r="H9" s="78"/>
      <c r="I9" s="78"/>
      <c r="J9" s="78"/>
      <c r="K9" s="78"/>
      <c r="L9" s="78"/>
      <c r="M9" s="78"/>
      <c r="N9" s="78"/>
      <c r="O9" s="78"/>
      <c r="P9" s="78"/>
      <c r="Q9" s="78"/>
      <c r="R9" s="78"/>
      <c r="S9" s="78"/>
      <c r="T9" s="78"/>
    </row>
    <row r="10" spans="1:20" ht="17">
      <c r="A10" s="16" t="s">
        <v>800</v>
      </c>
      <c r="B10" s="78"/>
      <c r="C10" s="162">
        <v>0</v>
      </c>
      <c r="D10" s="232" t="s">
        <v>1084</v>
      </c>
      <c r="E10" s="108" t="s">
        <v>801</v>
      </c>
      <c r="F10" s="108" t="s">
        <v>801</v>
      </c>
      <c r="G10" s="108" t="s">
        <v>801</v>
      </c>
      <c r="H10" s="108" t="s">
        <v>801</v>
      </c>
      <c r="I10" s="108" t="s">
        <v>801</v>
      </c>
      <c r="J10" s="108" t="s">
        <v>801</v>
      </c>
      <c r="K10" s="78"/>
      <c r="L10" s="78"/>
      <c r="M10" s="78"/>
      <c r="N10" s="78"/>
      <c r="O10" s="78"/>
      <c r="P10" s="78"/>
      <c r="Q10" s="78"/>
      <c r="R10" s="108" t="s">
        <v>801</v>
      </c>
      <c r="S10" s="285"/>
      <c r="T10" s="285"/>
    </row>
    <row r="11" spans="1:20" ht="17">
      <c r="A11" s="109" t="s">
        <v>802</v>
      </c>
      <c r="B11" s="78"/>
      <c r="C11" s="162">
        <v>0</v>
      </c>
      <c r="D11" s="232" t="s">
        <v>1084</v>
      </c>
      <c r="E11" s="108" t="s">
        <v>801</v>
      </c>
      <c r="F11" s="108" t="s">
        <v>801</v>
      </c>
      <c r="G11" s="108" t="s">
        <v>801</v>
      </c>
      <c r="H11" s="108" t="s">
        <v>801</v>
      </c>
      <c r="I11" s="108" t="s">
        <v>801</v>
      </c>
      <c r="J11" s="108" t="s">
        <v>801</v>
      </c>
      <c r="K11" s="78"/>
      <c r="L11" s="78"/>
      <c r="M11" s="78"/>
      <c r="N11" s="78"/>
      <c r="O11" s="78"/>
      <c r="P11" s="78"/>
      <c r="Q11" s="78"/>
      <c r="R11" s="108" t="s">
        <v>801</v>
      </c>
      <c r="S11" s="78" t="s">
        <v>796</v>
      </c>
      <c r="T11" s="285"/>
    </row>
    <row r="12" spans="1:20" ht="17">
      <c r="A12" s="109" t="s">
        <v>803</v>
      </c>
      <c r="B12" s="78"/>
      <c r="C12" s="162">
        <v>0</v>
      </c>
      <c r="D12" s="232" t="s">
        <v>1084</v>
      </c>
      <c r="E12" s="108" t="s">
        <v>801</v>
      </c>
      <c r="F12" s="285"/>
      <c r="G12" s="285"/>
      <c r="H12" s="285"/>
      <c r="I12" s="285"/>
      <c r="J12" s="285"/>
      <c r="K12" s="78"/>
      <c r="L12" s="78"/>
      <c r="M12" s="78"/>
      <c r="N12" s="78"/>
      <c r="O12" s="78"/>
      <c r="P12" s="78"/>
      <c r="Q12" s="78"/>
      <c r="R12" s="108" t="s">
        <v>801</v>
      </c>
      <c r="S12" s="285"/>
      <c r="T12" s="78" t="s">
        <v>797</v>
      </c>
    </row>
    <row r="13" spans="1:20" ht="34">
      <c r="A13" s="79" t="s">
        <v>804</v>
      </c>
      <c r="B13" s="78"/>
      <c r="C13" s="78"/>
      <c r="D13" s="232"/>
      <c r="E13" s="78"/>
      <c r="F13" s="78"/>
      <c r="G13" s="78"/>
      <c r="H13" s="78"/>
      <c r="I13" s="78"/>
      <c r="J13" s="78"/>
      <c r="K13" s="78"/>
      <c r="L13" s="78"/>
      <c r="M13" s="78"/>
      <c r="N13" s="78"/>
      <c r="O13" s="78"/>
      <c r="P13" s="78"/>
      <c r="Q13" s="78"/>
      <c r="R13" s="78"/>
      <c r="S13" s="78"/>
      <c r="T13" s="78"/>
    </row>
    <row r="14" spans="1:20" ht="34">
      <c r="A14" s="16" t="s">
        <v>805</v>
      </c>
      <c r="B14" s="78"/>
      <c r="C14" s="162">
        <v>0</v>
      </c>
      <c r="D14" s="232" t="s">
        <v>1084</v>
      </c>
      <c r="E14" s="108" t="s">
        <v>801</v>
      </c>
      <c r="F14" s="108" t="s">
        <v>801</v>
      </c>
      <c r="G14" s="108" t="s">
        <v>801</v>
      </c>
      <c r="H14" s="108" t="s">
        <v>801</v>
      </c>
      <c r="I14" s="108" t="s">
        <v>801</v>
      </c>
      <c r="J14" s="108" t="s">
        <v>801</v>
      </c>
      <c r="K14" s="285"/>
      <c r="L14" s="285"/>
      <c r="M14" s="285"/>
      <c r="N14" s="285"/>
      <c r="O14" s="285"/>
      <c r="P14" s="285"/>
      <c r="Q14" s="285"/>
      <c r="R14" s="108" t="s">
        <v>801</v>
      </c>
      <c r="S14" s="285"/>
      <c r="T14" s="285"/>
    </row>
    <row r="15" spans="1:20" ht="17">
      <c r="A15" s="173" t="s">
        <v>806</v>
      </c>
      <c r="B15" s="107"/>
      <c r="C15" s="162">
        <v>0</v>
      </c>
      <c r="D15" s="232" t="s">
        <v>1084</v>
      </c>
      <c r="E15" s="108" t="s">
        <v>801</v>
      </c>
      <c r="F15" s="108" t="s">
        <v>801</v>
      </c>
      <c r="G15" s="108" t="s">
        <v>801</v>
      </c>
      <c r="H15" s="108" t="s">
        <v>801</v>
      </c>
      <c r="I15" s="108" t="s">
        <v>801</v>
      </c>
      <c r="J15" s="108" t="s">
        <v>801</v>
      </c>
      <c r="K15" s="290"/>
      <c r="L15" s="290"/>
      <c r="M15" s="290"/>
      <c r="N15" s="290"/>
      <c r="O15" s="290"/>
      <c r="P15" s="290"/>
      <c r="Q15" s="290"/>
      <c r="R15" s="108" t="s">
        <v>801</v>
      </c>
      <c r="S15" s="290"/>
      <c r="T15" s="290"/>
    </row>
    <row r="16" spans="1:20" ht="17">
      <c r="A16" s="173" t="s">
        <v>807</v>
      </c>
      <c r="B16" s="107"/>
      <c r="C16" s="107"/>
      <c r="D16" s="234"/>
      <c r="E16" s="84"/>
      <c r="F16" s="84"/>
      <c r="G16" s="84"/>
      <c r="H16" s="84"/>
      <c r="I16" s="84"/>
      <c r="J16" s="84"/>
      <c r="K16" s="84"/>
      <c r="L16" s="84"/>
      <c r="M16" s="84"/>
      <c r="N16" s="84"/>
      <c r="O16" s="84"/>
      <c r="P16" s="84"/>
      <c r="Q16" s="84"/>
      <c r="R16" s="84"/>
      <c r="S16" s="84"/>
      <c r="T16" s="97"/>
    </row>
    <row r="17" spans="1:20" ht="17">
      <c r="A17" s="16" t="s">
        <v>808</v>
      </c>
      <c r="B17" s="78"/>
      <c r="C17" s="162">
        <v>18171053</v>
      </c>
      <c r="D17" s="232" t="s">
        <v>1085</v>
      </c>
      <c r="E17" s="97"/>
      <c r="F17" s="97"/>
      <c r="G17" s="97"/>
      <c r="H17" s="97"/>
      <c r="I17" s="97"/>
      <c r="J17" s="97"/>
      <c r="K17" s="97"/>
      <c r="L17" s="97"/>
      <c r="M17" s="97"/>
      <c r="N17" s="97"/>
      <c r="O17" s="97"/>
      <c r="P17" s="97"/>
      <c r="Q17" s="97"/>
      <c r="R17" s="97"/>
      <c r="S17" s="97"/>
      <c r="T17" s="97"/>
    </row>
    <row r="18" spans="1:20" ht="17">
      <c r="A18" s="124" t="s">
        <v>809</v>
      </c>
      <c r="B18" s="83"/>
      <c r="C18" s="165">
        <v>18171053</v>
      </c>
      <c r="D18" s="236" t="s">
        <v>1085</v>
      </c>
      <c r="E18" s="28"/>
      <c r="F18" s="28"/>
      <c r="G18" s="28"/>
      <c r="H18" s="28"/>
      <c r="I18" s="28"/>
      <c r="J18" s="28"/>
      <c r="K18" s="28"/>
      <c r="L18" s="28"/>
      <c r="M18" s="28"/>
      <c r="N18" s="28"/>
      <c r="O18" s="28"/>
      <c r="P18" s="28"/>
      <c r="Q18" s="28"/>
      <c r="R18" s="28"/>
      <c r="S18" s="28"/>
      <c r="T18" s="28"/>
    </row>
    <row r="19" spans="1:20" ht="16">
      <c r="A19" s="365"/>
      <c r="B19" s="365"/>
      <c r="C19" s="365"/>
      <c r="D19" s="365"/>
      <c r="E19" s="365"/>
      <c r="F19" s="365"/>
      <c r="G19" s="365"/>
      <c r="H19" s="365"/>
      <c r="I19" s="365"/>
      <c r="J19" s="365"/>
      <c r="K19" s="365"/>
      <c r="L19" s="365"/>
      <c r="M19" s="63"/>
      <c r="N19" s="63"/>
      <c r="O19" s="63"/>
      <c r="P19" s="63"/>
      <c r="Q19" s="63"/>
      <c r="R19" s="63"/>
      <c r="S19" s="63"/>
      <c r="T19" s="63"/>
    </row>
  </sheetData>
  <mergeCells count="7">
    <mergeCell ref="A2:K2"/>
    <mergeCell ref="K5:P5"/>
    <mergeCell ref="A19:L19"/>
    <mergeCell ref="B5:D5"/>
    <mergeCell ref="E5:J5"/>
    <mergeCell ref="A3:K3"/>
    <mergeCell ref="A4:T4"/>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C14"/>
  <sheetViews>
    <sheetView showRuler="0" workbookViewId="0">
      <selection activeCell="A2" sqref="A2:C2"/>
    </sheetView>
  </sheetViews>
  <sheetFormatPr baseColWidth="10" defaultColWidth="12.83203125" defaultRowHeight="13"/>
  <cols>
    <col min="1" max="1" width="62.1640625" customWidth="1"/>
    <col min="2" max="3" width="41.33203125" customWidth="1"/>
  </cols>
  <sheetData>
    <row r="1" spans="1:3" ht="14">
      <c r="A1" s="239" t="str">
        <f>HYPERLINK("#'Index'!A1","Back to index")</f>
        <v>Back to index</v>
      </c>
    </row>
    <row r="2" spans="1:3" ht="25" customHeight="1">
      <c r="A2" s="310" t="s">
        <v>49</v>
      </c>
      <c r="B2" s="311"/>
      <c r="C2" s="311"/>
    </row>
    <row r="3" spans="1:3" ht="22.5" customHeight="1">
      <c r="A3" s="312" t="s">
        <v>34</v>
      </c>
      <c r="B3" s="311"/>
      <c r="C3" s="311"/>
    </row>
    <row r="4" spans="1:3">
      <c r="A4" s="323"/>
      <c r="B4" s="323"/>
      <c r="C4" s="323"/>
    </row>
    <row r="6" spans="1:3" ht="16">
      <c r="A6" s="49"/>
      <c r="B6" s="394" t="s">
        <v>34</v>
      </c>
      <c r="C6" s="394"/>
    </row>
    <row r="7" spans="1:3" ht="17">
      <c r="A7" s="5"/>
      <c r="B7" s="94" t="s">
        <v>810</v>
      </c>
      <c r="C7" s="94" t="s">
        <v>811</v>
      </c>
    </row>
    <row r="8" spans="1:3" ht="17">
      <c r="A8" s="200" t="s">
        <v>812</v>
      </c>
      <c r="B8" s="201">
        <v>0</v>
      </c>
      <c r="C8" s="201">
        <v>0</v>
      </c>
    </row>
    <row r="9" spans="1:3" ht="17">
      <c r="A9" s="4" t="s">
        <v>813</v>
      </c>
      <c r="B9" s="202">
        <v>0</v>
      </c>
      <c r="C9" s="202">
        <v>0</v>
      </c>
    </row>
    <row r="10" spans="1:3" ht="17">
      <c r="A10" s="4" t="s">
        <v>814</v>
      </c>
      <c r="B10" s="202">
        <v>0</v>
      </c>
      <c r="C10" s="202">
        <v>0</v>
      </c>
    </row>
    <row r="11" spans="1:3" ht="17">
      <c r="A11" s="4" t="s">
        <v>815</v>
      </c>
      <c r="B11" s="202">
        <v>0</v>
      </c>
      <c r="C11" s="202">
        <v>0</v>
      </c>
    </row>
    <row r="12" spans="1:3" ht="17">
      <c r="A12" s="4" t="s">
        <v>816</v>
      </c>
      <c r="B12" s="202">
        <v>0</v>
      </c>
      <c r="C12" s="202">
        <v>0</v>
      </c>
    </row>
    <row r="13" spans="1:3" ht="17">
      <c r="A13" s="203" t="s">
        <v>817</v>
      </c>
      <c r="B13" s="204">
        <v>0</v>
      </c>
      <c r="C13" s="204">
        <v>0</v>
      </c>
    </row>
    <row r="14" spans="1:3" ht="16">
      <c r="A14" s="32"/>
      <c r="B14" s="32"/>
      <c r="C14" s="32"/>
    </row>
  </sheetData>
  <mergeCells count="4">
    <mergeCell ref="A2:C2"/>
    <mergeCell ref="A3:C3"/>
    <mergeCell ref="B6:C6"/>
    <mergeCell ref="A4:C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1"/>
  <sheetViews>
    <sheetView showRuler="0" zoomScaleNormal="100" workbookViewId="0">
      <selection activeCell="A2" sqref="A2:E2"/>
    </sheetView>
  </sheetViews>
  <sheetFormatPr baseColWidth="10" defaultColWidth="12.83203125" defaultRowHeight="13"/>
  <cols>
    <col min="1" max="1" width="56.5" customWidth="1"/>
    <col min="2" max="5" width="17" customWidth="1"/>
  </cols>
  <sheetData>
    <row r="1" spans="1:5" ht="15.75" customHeight="1">
      <c r="A1" s="239" t="str">
        <f>HYPERLINK("#'Index'!A1","Back to index")</f>
        <v>Back to index</v>
      </c>
    </row>
    <row r="2" spans="1:5" ht="25" customHeight="1">
      <c r="A2" s="310" t="s">
        <v>49</v>
      </c>
      <c r="B2" s="311"/>
      <c r="C2" s="311"/>
      <c r="D2" s="311"/>
      <c r="E2" s="311"/>
    </row>
    <row r="3" spans="1:5" ht="23" customHeight="1">
      <c r="A3" s="312" t="s">
        <v>196</v>
      </c>
      <c r="B3" s="311"/>
      <c r="C3" s="311"/>
      <c r="D3" s="311"/>
      <c r="E3" s="311"/>
    </row>
    <row r="4" spans="1:5" ht="17.5" customHeight="1">
      <c r="A4" s="323"/>
      <c r="B4" s="323"/>
      <c r="C4" s="323"/>
      <c r="D4" s="323"/>
      <c r="E4" s="323"/>
    </row>
    <row r="5" spans="1:5" ht="15" customHeight="1">
      <c r="A5" s="5"/>
      <c r="B5" s="28" t="s">
        <v>197</v>
      </c>
      <c r="C5" s="28" t="s">
        <v>198</v>
      </c>
      <c r="D5" s="28" t="s">
        <v>199</v>
      </c>
      <c r="E5" s="29" t="s">
        <v>200</v>
      </c>
    </row>
    <row r="6" spans="1:5" ht="15" customHeight="1">
      <c r="A6" s="14" t="s">
        <v>201</v>
      </c>
      <c r="B6" s="30">
        <v>248.1</v>
      </c>
      <c r="C6" s="30">
        <v>413.5</v>
      </c>
      <c r="D6" s="30">
        <v>578.9</v>
      </c>
      <c r="E6" s="31">
        <v>354.5</v>
      </c>
    </row>
    <row r="7" spans="1:5" ht="15" customHeight="1">
      <c r="A7" s="21" t="s">
        <v>202</v>
      </c>
      <c r="B7" s="253" t="s">
        <v>1109</v>
      </c>
      <c r="C7" s="253" t="s">
        <v>1110</v>
      </c>
      <c r="D7" s="253" t="s">
        <v>1111</v>
      </c>
      <c r="E7" s="254" t="s">
        <v>1112</v>
      </c>
    </row>
    <row r="8" spans="1:5" ht="15" customHeight="1">
      <c r="A8" s="332" t="s">
        <v>203</v>
      </c>
      <c r="B8" s="332"/>
      <c r="C8" s="332"/>
      <c r="D8" s="332"/>
      <c r="E8" s="332"/>
    </row>
    <row r="9" spans="1:5" ht="15" customHeight="1"/>
    <row r="10" spans="1:5" ht="15" customHeight="1"/>
    <row r="11" spans="1:5" ht="15" customHeight="1"/>
    <row r="12" spans="1:5" ht="15" customHeight="1"/>
    <row r="13" spans="1:5" ht="15" customHeight="1"/>
    <row r="14" spans="1:5" ht="15" customHeight="1"/>
    <row r="15" spans="1:5" ht="15" customHeight="1"/>
    <row r="16" spans="1:5"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sheetData>
  <mergeCells count="4">
    <mergeCell ref="A2:E2"/>
    <mergeCell ref="A3:E3"/>
    <mergeCell ref="A8:E8"/>
    <mergeCell ref="A4:E4"/>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T19"/>
  <sheetViews>
    <sheetView showRuler="0" workbookViewId="0">
      <selection activeCell="A2" sqref="A2:K2"/>
    </sheetView>
  </sheetViews>
  <sheetFormatPr baseColWidth="10" defaultColWidth="12.83203125" defaultRowHeight="13"/>
  <cols>
    <col min="1" max="1" width="62.1640625" customWidth="1"/>
    <col min="2" max="20" width="16.83203125" customWidth="1"/>
  </cols>
  <sheetData>
    <row r="1" spans="1:20" ht="14">
      <c r="A1" s="239" t="str">
        <f>HYPERLINK("#'Index'!A1","Back to index")</f>
        <v>Back to index</v>
      </c>
    </row>
    <row r="2" spans="1:20" ht="25" customHeight="1">
      <c r="A2" s="310" t="s">
        <v>49</v>
      </c>
      <c r="B2" s="311"/>
      <c r="C2" s="311"/>
      <c r="D2" s="311"/>
      <c r="E2" s="311"/>
      <c r="F2" s="311"/>
      <c r="G2" s="311"/>
      <c r="H2" s="311"/>
      <c r="I2" s="311"/>
      <c r="J2" s="311"/>
      <c r="K2" s="311"/>
    </row>
    <row r="3" spans="1:20" ht="22.5" customHeight="1">
      <c r="A3" s="312" t="s">
        <v>35</v>
      </c>
      <c r="B3" s="311"/>
      <c r="C3" s="311"/>
      <c r="D3" s="311"/>
      <c r="E3" s="311"/>
      <c r="F3" s="311"/>
      <c r="G3" s="311"/>
      <c r="H3" s="311"/>
      <c r="I3" s="311"/>
    </row>
    <row r="4" spans="1:20" ht="13" customHeight="1">
      <c r="A4" s="323"/>
      <c r="B4" s="323"/>
      <c r="C4" s="323"/>
      <c r="D4" s="323"/>
      <c r="E4" s="323"/>
      <c r="F4" s="323"/>
      <c r="G4" s="323"/>
      <c r="H4" s="323"/>
      <c r="I4" s="323"/>
      <c r="J4" s="323"/>
      <c r="K4" s="323"/>
      <c r="L4" s="323"/>
      <c r="M4" s="323"/>
      <c r="N4" s="323"/>
      <c r="O4" s="323"/>
      <c r="P4" s="323"/>
      <c r="Q4" s="323"/>
      <c r="R4" s="323"/>
      <c r="S4" s="323"/>
      <c r="T4" s="323"/>
    </row>
    <row r="5" spans="1:20" ht="18" thickBot="1">
      <c r="A5" s="291" t="s">
        <v>272</v>
      </c>
      <c r="B5" s="349" t="s">
        <v>50</v>
      </c>
      <c r="C5" s="349"/>
      <c r="D5" s="349"/>
      <c r="E5" s="349" t="s">
        <v>778</v>
      </c>
      <c r="F5" s="349"/>
      <c r="G5" s="349"/>
      <c r="H5" s="349"/>
      <c r="I5" s="349"/>
      <c r="J5" s="349"/>
      <c r="K5" s="349" t="s">
        <v>818</v>
      </c>
      <c r="L5" s="349"/>
      <c r="M5" s="349"/>
      <c r="N5" s="349"/>
      <c r="O5" s="349"/>
      <c r="P5" s="349"/>
      <c r="Q5" s="49"/>
      <c r="R5" s="49"/>
      <c r="S5" s="49"/>
      <c r="T5" s="49"/>
    </row>
    <row r="6" spans="1:20" ht="120" thickBot="1">
      <c r="A6" s="5" t="s">
        <v>780</v>
      </c>
      <c r="B6" s="94" t="s">
        <v>781</v>
      </c>
      <c r="C6" s="94" t="s">
        <v>819</v>
      </c>
      <c r="D6" s="94" t="s">
        <v>783</v>
      </c>
      <c r="E6" s="94" t="s">
        <v>784</v>
      </c>
      <c r="F6" s="94" t="s">
        <v>785</v>
      </c>
      <c r="G6" s="94" t="s">
        <v>786</v>
      </c>
      <c r="H6" s="94" t="s">
        <v>787</v>
      </c>
      <c r="I6" s="94" t="s">
        <v>788</v>
      </c>
      <c r="J6" s="94" t="s">
        <v>789</v>
      </c>
      <c r="K6" s="94" t="s">
        <v>784</v>
      </c>
      <c r="L6" s="94" t="s">
        <v>785</v>
      </c>
      <c r="M6" s="94" t="s">
        <v>786</v>
      </c>
      <c r="N6" s="94" t="s">
        <v>787</v>
      </c>
      <c r="O6" s="94" t="s">
        <v>788</v>
      </c>
      <c r="P6" s="94" t="s">
        <v>789</v>
      </c>
      <c r="Q6" s="28" t="s">
        <v>1191</v>
      </c>
      <c r="R6" s="28" t="s">
        <v>820</v>
      </c>
      <c r="S6" s="28" t="s">
        <v>791</v>
      </c>
      <c r="T6" s="28" t="s">
        <v>792</v>
      </c>
    </row>
    <row r="7" spans="1:20" ht="17">
      <c r="A7" s="147"/>
      <c r="B7" s="94"/>
      <c r="C7" s="94" t="s">
        <v>625</v>
      </c>
      <c r="D7" s="94" t="s">
        <v>239</v>
      </c>
      <c r="E7" s="94" t="s">
        <v>794</v>
      </c>
      <c r="F7" s="94" t="s">
        <v>794</v>
      </c>
      <c r="G7" s="94" t="s">
        <v>794</v>
      </c>
      <c r="H7" s="94" t="s">
        <v>794</v>
      </c>
      <c r="I7" s="94" t="s">
        <v>794</v>
      </c>
      <c r="J7" s="94" t="s">
        <v>794</v>
      </c>
      <c r="K7" s="94" t="s">
        <v>795</v>
      </c>
      <c r="L7" s="94" t="s">
        <v>795</v>
      </c>
      <c r="M7" s="94" t="s">
        <v>795</v>
      </c>
      <c r="N7" s="94" t="s">
        <v>795</v>
      </c>
      <c r="O7" s="94" t="s">
        <v>795</v>
      </c>
      <c r="P7" s="94" t="s">
        <v>795</v>
      </c>
      <c r="Q7" s="94" t="s">
        <v>795</v>
      </c>
      <c r="R7" s="94" t="s">
        <v>239</v>
      </c>
      <c r="S7" s="94" t="s">
        <v>796</v>
      </c>
      <c r="T7" s="94" t="s">
        <v>797</v>
      </c>
    </row>
    <row r="8" spans="1:20" ht="17">
      <c r="A8" s="198" t="s">
        <v>798</v>
      </c>
      <c r="B8" s="105"/>
      <c r="C8" s="105"/>
      <c r="D8" s="237"/>
      <c r="E8" s="105"/>
      <c r="F8" s="105"/>
      <c r="G8" s="105"/>
      <c r="H8" s="105"/>
      <c r="I8" s="105"/>
      <c r="J8" s="105"/>
      <c r="K8" s="105"/>
      <c r="L8" s="105"/>
      <c r="M8" s="105"/>
      <c r="N8" s="105"/>
      <c r="O8" s="105"/>
      <c r="P8" s="105"/>
      <c r="Q8" s="105"/>
      <c r="R8" s="105"/>
      <c r="S8" s="105"/>
      <c r="T8" s="76"/>
    </row>
    <row r="9" spans="1:20" ht="17">
      <c r="A9" s="79" t="s">
        <v>799</v>
      </c>
      <c r="B9" s="78"/>
      <c r="C9" s="78"/>
      <c r="D9" s="232"/>
      <c r="E9" s="78"/>
      <c r="F9" s="78"/>
      <c r="G9" s="78"/>
      <c r="H9" s="78"/>
      <c r="I9" s="78"/>
      <c r="J9" s="78"/>
      <c r="K9" s="78"/>
      <c r="L9" s="78"/>
      <c r="M9" s="78"/>
      <c r="N9" s="78"/>
      <c r="O9" s="78"/>
      <c r="P9" s="78"/>
      <c r="Q9" s="78"/>
      <c r="R9" s="78"/>
      <c r="S9" s="78"/>
      <c r="T9" s="78"/>
    </row>
    <row r="10" spans="1:20" ht="34">
      <c r="A10" s="16" t="s">
        <v>821</v>
      </c>
      <c r="B10" s="78"/>
      <c r="C10" s="77">
        <v>0</v>
      </c>
      <c r="D10" s="232" t="s">
        <v>801</v>
      </c>
      <c r="E10" s="108" t="s">
        <v>801</v>
      </c>
      <c r="F10" s="108" t="s">
        <v>801</v>
      </c>
      <c r="G10" s="108" t="s">
        <v>801</v>
      </c>
      <c r="H10" s="108" t="s">
        <v>801</v>
      </c>
      <c r="I10" s="108" t="s">
        <v>801</v>
      </c>
      <c r="J10" s="108" t="s">
        <v>801</v>
      </c>
      <c r="K10" s="78"/>
      <c r="L10" s="78"/>
      <c r="M10" s="78"/>
      <c r="N10" s="78"/>
      <c r="O10" s="78"/>
      <c r="P10" s="78"/>
      <c r="Q10" s="78"/>
      <c r="R10" s="232">
        <v>0</v>
      </c>
      <c r="S10" s="285"/>
      <c r="T10" s="285"/>
    </row>
    <row r="11" spans="1:20" ht="17">
      <c r="A11" s="109" t="s">
        <v>802</v>
      </c>
      <c r="B11" s="78"/>
      <c r="C11" s="77">
        <v>0</v>
      </c>
      <c r="D11" s="232" t="s">
        <v>801</v>
      </c>
      <c r="E11" s="108" t="s">
        <v>801</v>
      </c>
      <c r="F11" s="108" t="s">
        <v>801</v>
      </c>
      <c r="G11" s="108" t="s">
        <v>801</v>
      </c>
      <c r="H11" s="108" t="s">
        <v>801</v>
      </c>
      <c r="I11" s="108" t="s">
        <v>801</v>
      </c>
      <c r="J11" s="108" t="s">
        <v>801</v>
      </c>
      <c r="K11" s="78"/>
      <c r="L11" s="78"/>
      <c r="M11" s="78"/>
      <c r="N11" s="78"/>
      <c r="O11" s="78"/>
      <c r="P11" s="78"/>
      <c r="Q11" s="78"/>
      <c r="R11" s="232">
        <v>0</v>
      </c>
      <c r="S11" s="78" t="s">
        <v>796</v>
      </c>
      <c r="T11" s="285"/>
    </row>
    <row r="12" spans="1:20" ht="17">
      <c r="A12" s="109" t="s">
        <v>803</v>
      </c>
      <c r="B12" s="78"/>
      <c r="C12" s="77">
        <v>0</v>
      </c>
      <c r="D12" s="232" t="s">
        <v>801</v>
      </c>
      <c r="E12" s="108" t="s">
        <v>801</v>
      </c>
      <c r="F12" s="285"/>
      <c r="G12" s="285"/>
      <c r="H12" s="285"/>
      <c r="I12" s="285"/>
      <c r="J12" s="285"/>
      <c r="K12" s="78"/>
      <c r="L12" s="78"/>
      <c r="M12" s="78"/>
      <c r="N12" s="78"/>
      <c r="O12" s="78"/>
      <c r="P12" s="78"/>
      <c r="Q12" s="78"/>
      <c r="R12" s="232">
        <v>0</v>
      </c>
      <c r="S12" s="285"/>
      <c r="T12" s="78" t="s">
        <v>797</v>
      </c>
    </row>
    <row r="13" spans="1:20" ht="34">
      <c r="A13" s="79" t="s">
        <v>804</v>
      </c>
      <c r="B13" s="78"/>
      <c r="C13" s="78"/>
      <c r="D13" s="232"/>
      <c r="E13" s="78"/>
      <c r="F13" s="78"/>
      <c r="G13" s="78"/>
      <c r="H13" s="78"/>
      <c r="I13" s="78"/>
      <c r="J13" s="78"/>
      <c r="K13" s="78"/>
      <c r="L13" s="78"/>
      <c r="M13" s="78"/>
      <c r="N13" s="78"/>
      <c r="O13" s="78"/>
      <c r="P13" s="78"/>
      <c r="Q13" s="78"/>
      <c r="R13" s="232"/>
      <c r="S13" s="78"/>
      <c r="T13" s="78"/>
    </row>
    <row r="14" spans="1:20" ht="34">
      <c r="A14" s="16" t="s">
        <v>822</v>
      </c>
      <c r="B14" s="78"/>
      <c r="C14" s="77">
        <v>0</v>
      </c>
      <c r="D14" s="232" t="s">
        <v>801</v>
      </c>
      <c r="E14" s="108" t="s">
        <v>801</v>
      </c>
      <c r="F14" s="108" t="s">
        <v>801</v>
      </c>
      <c r="G14" s="108" t="s">
        <v>801</v>
      </c>
      <c r="H14" s="108" t="s">
        <v>801</v>
      </c>
      <c r="I14" s="108" t="s">
        <v>801</v>
      </c>
      <c r="J14" s="108" t="s">
        <v>801</v>
      </c>
      <c r="K14" s="285"/>
      <c r="L14" s="285"/>
      <c r="M14" s="285"/>
      <c r="N14" s="285"/>
      <c r="O14" s="285"/>
      <c r="P14" s="285"/>
      <c r="Q14" s="285"/>
      <c r="R14" s="232">
        <v>0</v>
      </c>
      <c r="S14" s="285"/>
      <c r="T14" s="285"/>
    </row>
    <row r="15" spans="1:20" ht="17">
      <c r="A15" s="173" t="s">
        <v>823</v>
      </c>
      <c r="B15" s="107"/>
      <c r="C15" s="136">
        <v>0</v>
      </c>
      <c r="D15" s="234" t="s">
        <v>801</v>
      </c>
      <c r="E15" s="108" t="s">
        <v>801</v>
      </c>
      <c r="F15" s="108" t="s">
        <v>801</v>
      </c>
      <c r="G15" s="108" t="s">
        <v>801</v>
      </c>
      <c r="H15" s="108" t="s">
        <v>801</v>
      </c>
      <c r="I15" s="108" t="s">
        <v>801</v>
      </c>
      <c r="J15" s="108" t="s">
        <v>801</v>
      </c>
      <c r="K15" s="290"/>
      <c r="L15" s="290"/>
      <c r="M15" s="290"/>
      <c r="N15" s="290"/>
      <c r="O15" s="290"/>
      <c r="P15" s="290"/>
      <c r="Q15" s="290"/>
      <c r="R15" s="234">
        <v>0</v>
      </c>
      <c r="S15" s="290"/>
      <c r="T15" s="290"/>
    </row>
    <row r="16" spans="1:20" ht="17">
      <c r="A16" s="173" t="s">
        <v>807</v>
      </c>
      <c r="B16" s="107"/>
      <c r="C16" s="107"/>
      <c r="D16" s="234"/>
      <c r="E16" s="84"/>
      <c r="F16" s="84"/>
      <c r="G16" s="84"/>
      <c r="H16" s="84"/>
      <c r="I16" s="84"/>
      <c r="J16" s="84"/>
      <c r="K16" s="84"/>
      <c r="L16" s="84"/>
      <c r="M16" s="84"/>
      <c r="N16" s="84"/>
      <c r="O16" s="84"/>
      <c r="P16" s="84"/>
      <c r="Q16" s="84"/>
      <c r="R16" s="84"/>
      <c r="S16" s="84"/>
      <c r="T16" s="97"/>
    </row>
    <row r="17" spans="1:20" ht="17">
      <c r="A17" s="16" t="s">
        <v>824</v>
      </c>
      <c r="B17" s="78"/>
      <c r="C17" s="77">
        <v>248414</v>
      </c>
      <c r="D17" s="232" t="s">
        <v>1056</v>
      </c>
      <c r="E17" s="97"/>
      <c r="F17" s="97"/>
      <c r="G17" s="97"/>
      <c r="H17" s="97"/>
      <c r="I17" s="97"/>
      <c r="J17" s="97"/>
      <c r="K17" s="97"/>
      <c r="L17" s="97"/>
      <c r="M17" s="97"/>
      <c r="N17" s="97"/>
      <c r="O17" s="97"/>
      <c r="P17" s="97"/>
      <c r="Q17" s="97"/>
      <c r="R17" s="97"/>
      <c r="S17" s="97"/>
      <c r="T17" s="97"/>
    </row>
    <row r="18" spans="1:20" ht="17">
      <c r="A18" s="124" t="s">
        <v>809</v>
      </c>
      <c r="B18" s="51"/>
      <c r="C18" s="82">
        <v>248414</v>
      </c>
      <c r="D18" s="236" t="s">
        <v>1056</v>
      </c>
      <c r="E18" s="28"/>
      <c r="F18" s="28"/>
      <c r="G18" s="28"/>
      <c r="H18" s="28"/>
      <c r="I18" s="28"/>
      <c r="J18" s="28"/>
      <c r="K18" s="28"/>
      <c r="L18" s="28"/>
      <c r="M18" s="28"/>
      <c r="N18" s="28"/>
      <c r="O18" s="28"/>
      <c r="P18" s="28"/>
      <c r="Q18" s="28"/>
      <c r="R18" s="28"/>
      <c r="S18" s="28"/>
      <c r="T18" s="28"/>
    </row>
    <row r="19" spans="1:20" ht="16">
      <c r="A19" s="365"/>
      <c r="B19" s="365"/>
      <c r="C19" s="365"/>
      <c r="D19" s="365"/>
      <c r="E19" s="365"/>
      <c r="F19" s="365"/>
      <c r="G19" s="365"/>
      <c r="H19" s="365"/>
      <c r="I19" s="365"/>
      <c r="J19" s="365"/>
      <c r="K19" s="365"/>
      <c r="L19" s="365"/>
      <c r="M19" s="63"/>
      <c r="N19" s="63"/>
      <c r="O19" s="63"/>
      <c r="P19" s="63"/>
      <c r="Q19" s="63"/>
      <c r="R19" s="63"/>
      <c r="S19" s="63"/>
      <c r="T19" s="63"/>
    </row>
  </sheetData>
  <mergeCells count="7">
    <mergeCell ref="A2:K2"/>
    <mergeCell ref="K5:P5"/>
    <mergeCell ref="A19:L19"/>
    <mergeCell ref="B5:D5"/>
    <mergeCell ref="E5:J5"/>
    <mergeCell ref="A3:I3"/>
    <mergeCell ref="A4:T4"/>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C14"/>
  <sheetViews>
    <sheetView showRuler="0" workbookViewId="0">
      <selection activeCell="A2" sqref="A2:C2"/>
    </sheetView>
  </sheetViews>
  <sheetFormatPr baseColWidth="10" defaultColWidth="12.83203125" defaultRowHeight="13"/>
  <cols>
    <col min="1" max="1" width="62.1640625" customWidth="1"/>
    <col min="2" max="3" width="41.33203125" customWidth="1"/>
  </cols>
  <sheetData>
    <row r="1" spans="1:3" ht="14">
      <c r="A1" s="239" t="str">
        <f>HYPERLINK("#'Index'!A1","Back to index")</f>
        <v>Back to index</v>
      </c>
    </row>
    <row r="2" spans="1:3" ht="26" customHeight="1">
      <c r="A2" s="310" t="s">
        <v>49</v>
      </c>
      <c r="B2" s="311"/>
      <c r="C2" s="311"/>
    </row>
    <row r="3" spans="1:3" ht="22.5" customHeight="1">
      <c r="A3" s="312" t="s">
        <v>36</v>
      </c>
      <c r="B3" s="311"/>
      <c r="C3" s="311"/>
    </row>
    <row r="4" spans="1:3">
      <c r="A4" s="323"/>
      <c r="B4" s="323"/>
      <c r="C4" s="323"/>
    </row>
    <row r="6" spans="1:3" ht="16">
      <c r="A6" s="49"/>
      <c r="B6" s="394" t="s">
        <v>36</v>
      </c>
      <c r="C6" s="394"/>
    </row>
    <row r="7" spans="1:3" ht="17">
      <c r="A7" s="5"/>
      <c r="B7" s="94" t="s">
        <v>810</v>
      </c>
      <c r="C7" s="94" t="s">
        <v>811</v>
      </c>
    </row>
    <row r="8" spans="1:3" ht="17">
      <c r="A8" s="200" t="s">
        <v>812</v>
      </c>
      <c r="B8" s="201">
        <v>0</v>
      </c>
      <c r="C8" s="201">
        <v>0</v>
      </c>
    </row>
    <row r="9" spans="1:3" ht="17">
      <c r="A9" s="4" t="s">
        <v>813</v>
      </c>
      <c r="B9" s="202">
        <v>0</v>
      </c>
      <c r="C9" s="202">
        <v>0</v>
      </c>
    </row>
    <row r="10" spans="1:3" ht="17">
      <c r="A10" s="4" t="s">
        <v>814</v>
      </c>
      <c r="B10" s="202">
        <v>0</v>
      </c>
      <c r="C10" s="202">
        <v>0</v>
      </c>
    </row>
    <row r="11" spans="1:3" ht="17">
      <c r="A11" s="4" t="s">
        <v>815</v>
      </c>
      <c r="B11" s="202">
        <v>0</v>
      </c>
      <c r="C11" s="202">
        <v>0</v>
      </c>
    </row>
    <row r="12" spans="1:3" ht="17">
      <c r="A12" s="4" t="s">
        <v>816</v>
      </c>
      <c r="B12" s="202">
        <v>0</v>
      </c>
      <c r="C12" s="202">
        <v>0</v>
      </c>
    </row>
    <row r="13" spans="1:3" ht="17">
      <c r="A13" s="203" t="s">
        <v>817</v>
      </c>
      <c r="B13" s="204">
        <v>0</v>
      </c>
      <c r="C13" s="204">
        <v>0</v>
      </c>
    </row>
    <row r="14" spans="1:3" ht="16">
      <c r="A14" s="32"/>
      <c r="B14" s="32"/>
      <c r="C14" s="32"/>
    </row>
  </sheetData>
  <mergeCells count="4">
    <mergeCell ref="A2:C2"/>
    <mergeCell ref="A3:C3"/>
    <mergeCell ref="B6:C6"/>
    <mergeCell ref="A4:C4"/>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X32"/>
  <sheetViews>
    <sheetView showRuler="0" workbookViewId="0">
      <selection activeCell="A2" sqref="A2:I2"/>
    </sheetView>
  </sheetViews>
  <sheetFormatPr baseColWidth="10" defaultColWidth="12.83203125" defaultRowHeight="13"/>
  <cols>
    <col min="1" max="1" width="48.5" customWidth="1"/>
    <col min="2" max="20" width="16.83203125" customWidth="1"/>
  </cols>
  <sheetData>
    <row r="1" spans="1:20" ht="14">
      <c r="A1" s="239" t="str">
        <f>HYPERLINK("#'Index'!A1","Back to index")</f>
        <v>Back to index</v>
      </c>
    </row>
    <row r="2" spans="1:20" ht="26" customHeight="1">
      <c r="A2" s="310" t="s">
        <v>49</v>
      </c>
      <c r="B2" s="311"/>
      <c r="C2" s="311"/>
      <c r="D2" s="311"/>
      <c r="E2" s="311"/>
      <c r="F2" s="311"/>
      <c r="G2" s="311"/>
      <c r="H2" s="311"/>
      <c r="I2" s="311"/>
    </row>
    <row r="3" spans="1:20" ht="22.5" customHeight="1">
      <c r="A3" s="312" t="s">
        <v>37</v>
      </c>
      <c r="B3" s="311"/>
      <c r="C3" s="311"/>
      <c r="D3" s="311"/>
      <c r="E3" s="311"/>
      <c r="F3" s="311"/>
      <c r="G3" s="311"/>
      <c r="H3" s="311"/>
      <c r="I3" s="311"/>
    </row>
    <row r="4" spans="1:20" ht="13" customHeight="1">
      <c r="A4" s="323"/>
      <c r="B4" s="323"/>
      <c r="C4" s="323"/>
      <c r="D4" s="323"/>
      <c r="E4" s="323"/>
      <c r="F4" s="323"/>
      <c r="G4" s="323"/>
      <c r="H4" s="323"/>
      <c r="I4" s="323"/>
      <c r="J4" s="323"/>
      <c r="K4" s="323"/>
      <c r="L4" s="323"/>
      <c r="M4" s="323"/>
      <c r="N4" s="323"/>
      <c r="O4" s="323"/>
      <c r="P4" s="323"/>
      <c r="Q4" s="323"/>
      <c r="R4" s="323"/>
      <c r="S4" s="323"/>
      <c r="T4" s="323"/>
    </row>
    <row r="5" spans="1:20" ht="18" thickBot="1">
      <c r="A5" s="291" t="s">
        <v>272</v>
      </c>
      <c r="B5" s="349" t="s">
        <v>50</v>
      </c>
      <c r="C5" s="349"/>
      <c r="D5" s="349"/>
      <c r="E5" s="349" t="s">
        <v>778</v>
      </c>
      <c r="F5" s="349"/>
      <c r="G5" s="349"/>
      <c r="H5" s="349"/>
      <c r="I5" s="349"/>
      <c r="J5" s="349"/>
      <c r="K5" s="349" t="s">
        <v>779</v>
      </c>
      <c r="L5" s="349"/>
      <c r="M5" s="349"/>
      <c r="N5" s="349"/>
      <c r="O5" s="349"/>
      <c r="P5" s="349"/>
      <c r="Q5" s="49"/>
      <c r="R5" s="49"/>
      <c r="S5" s="49"/>
      <c r="T5" s="49"/>
    </row>
    <row r="6" spans="1:20" ht="120" thickBot="1">
      <c r="A6" s="5" t="s">
        <v>780</v>
      </c>
      <c r="B6" s="94" t="s">
        <v>781</v>
      </c>
      <c r="C6" s="94" t="s">
        <v>825</v>
      </c>
      <c r="D6" s="94" t="s">
        <v>783</v>
      </c>
      <c r="E6" s="94" t="s">
        <v>784</v>
      </c>
      <c r="F6" s="94" t="s">
        <v>785</v>
      </c>
      <c r="G6" s="94" t="s">
        <v>786</v>
      </c>
      <c r="H6" s="94" t="s">
        <v>787</v>
      </c>
      <c r="I6" s="94" t="s">
        <v>788</v>
      </c>
      <c r="J6" s="94" t="s">
        <v>789</v>
      </c>
      <c r="K6" s="94" t="s">
        <v>784</v>
      </c>
      <c r="L6" s="94" t="s">
        <v>785</v>
      </c>
      <c r="M6" s="94" t="s">
        <v>786</v>
      </c>
      <c r="N6" s="94" t="s">
        <v>787</v>
      </c>
      <c r="O6" s="94" t="s">
        <v>788</v>
      </c>
      <c r="P6" s="94" t="s">
        <v>789</v>
      </c>
      <c r="Q6" s="28" t="s">
        <v>1191</v>
      </c>
      <c r="R6" s="28" t="s">
        <v>826</v>
      </c>
      <c r="S6" s="28" t="s">
        <v>791</v>
      </c>
      <c r="T6" s="28" t="s">
        <v>792</v>
      </c>
    </row>
    <row r="7" spans="1:20" ht="17">
      <c r="A7" s="147"/>
      <c r="B7" s="94"/>
      <c r="C7" s="94" t="s">
        <v>625</v>
      </c>
      <c r="D7" s="94" t="s">
        <v>239</v>
      </c>
      <c r="E7" s="94" t="s">
        <v>794</v>
      </c>
      <c r="F7" s="94" t="s">
        <v>794</v>
      </c>
      <c r="G7" s="94" t="s">
        <v>794</v>
      </c>
      <c r="H7" s="94" t="s">
        <v>794</v>
      </c>
      <c r="I7" s="94" t="s">
        <v>794</v>
      </c>
      <c r="J7" s="94" t="s">
        <v>794</v>
      </c>
      <c r="K7" s="94" t="s">
        <v>795</v>
      </c>
      <c r="L7" s="94" t="s">
        <v>795</v>
      </c>
      <c r="M7" s="94" t="s">
        <v>795</v>
      </c>
      <c r="N7" s="94" t="s">
        <v>795</v>
      </c>
      <c r="O7" s="94" t="s">
        <v>795</v>
      </c>
      <c r="P7" s="94" t="s">
        <v>795</v>
      </c>
      <c r="Q7" s="94" t="s">
        <v>795</v>
      </c>
      <c r="R7" s="94" t="s">
        <v>239</v>
      </c>
      <c r="S7" s="94" t="s">
        <v>796</v>
      </c>
      <c r="T7" s="94" t="s">
        <v>797</v>
      </c>
    </row>
    <row r="8" spans="1:20" ht="17">
      <c r="A8" s="198" t="s">
        <v>798</v>
      </c>
      <c r="B8" s="105"/>
      <c r="C8" s="105"/>
      <c r="D8" s="237"/>
      <c r="E8" s="105"/>
      <c r="F8" s="105"/>
      <c r="G8" s="105"/>
      <c r="H8" s="105"/>
      <c r="I8" s="105"/>
      <c r="J8" s="105"/>
      <c r="K8" s="105"/>
      <c r="L8" s="105"/>
      <c r="M8" s="105"/>
      <c r="N8" s="105"/>
      <c r="O8" s="105"/>
      <c r="P8" s="105"/>
      <c r="Q8" s="105"/>
      <c r="R8" s="105"/>
      <c r="S8" s="105"/>
      <c r="T8" s="76"/>
    </row>
    <row r="9" spans="1:20" ht="34">
      <c r="A9" s="79" t="s">
        <v>799</v>
      </c>
      <c r="B9" s="107"/>
      <c r="C9" s="107"/>
      <c r="D9" s="234"/>
      <c r="E9" s="107"/>
      <c r="F9" s="107"/>
      <c r="G9" s="107"/>
      <c r="H9" s="107"/>
      <c r="I9" s="107"/>
      <c r="J9" s="107"/>
      <c r="K9" s="107"/>
      <c r="L9" s="107"/>
      <c r="M9" s="107"/>
      <c r="N9" s="107"/>
      <c r="O9" s="107"/>
      <c r="P9" s="107"/>
      <c r="Q9" s="107"/>
      <c r="R9" s="107"/>
      <c r="S9" s="107"/>
      <c r="T9" s="107"/>
    </row>
    <row r="10" spans="1:20" ht="34">
      <c r="A10" s="16" t="s">
        <v>827</v>
      </c>
      <c r="B10" s="78" t="s">
        <v>828</v>
      </c>
      <c r="C10" s="77">
        <v>139</v>
      </c>
      <c r="D10" s="232" t="s">
        <v>801</v>
      </c>
      <c r="E10" s="78" t="s">
        <v>829</v>
      </c>
      <c r="F10" s="78" t="s">
        <v>830</v>
      </c>
      <c r="G10" s="78" t="s">
        <v>830</v>
      </c>
      <c r="H10" s="78" t="s">
        <v>830</v>
      </c>
      <c r="I10" s="78" t="s">
        <v>830</v>
      </c>
      <c r="J10" s="78" t="s">
        <v>830</v>
      </c>
      <c r="K10" s="78" t="s">
        <v>831</v>
      </c>
      <c r="L10" s="78" t="s">
        <v>831</v>
      </c>
      <c r="M10" s="78" t="s">
        <v>831</v>
      </c>
      <c r="N10" s="78" t="s">
        <v>831</v>
      </c>
      <c r="O10" s="78" t="s">
        <v>831</v>
      </c>
      <c r="P10" s="78" t="s">
        <v>831</v>
      </c>
      <c r="Q10" s="78" t="s">
        <v>831</v>
      </c>
      <c r="R10" s="232">
        <v>0</v>
      </c>
      <c r="S10" s="78" t="s">
        <v>796</v>
      </c>
      <c r="T10" s="78"/>
    </row>
    <row r="11" spans="1:20" ht="34">
      <c r="A11" s="16" t="s">
        <v>832</v>
      </c>
      <c r="B11" s="78" t="s">
        <v>833</v>
      </c>
      <c r="C11" s="77">
        <v>7898</v>
      </c>
      <c r="D11" s="232" t="s">
        <v>1090</v>
      </c>
      <c r="E11" s="78" t="s">
        <v>829</v>
      </c>
      <c r="F11" s="78" t="s">
        <v>830</v>
      </c>
      <c r="G11" s="78" t="s">
        <v>830</v>
      </c>
      <c r="H11" s="78" t="s">
        <v>830</v>
      </c>
      <c r="I11" s="78" t="s">
        <v>830</v>
      </c>
      <c r="J11" s="78" t="s">
        <v>830</v>
      </c>
      <c r="K11" s="78" t="s">
        <v>831</v>
      </c>
      <c r="L11" s="78" t="s">
        <v>831</v>
      </c>
      <c r="M11" s="78" t="s">
        <v>831</v>
      </c>
      <c r="N11" s="78" t="s">
        <v>831</v>
      </c>
      <c r="O11" s="78" t="s">
        <v>831</v>
      </c>
      <c r="P11" s="78" t="s">
        <v>831</v>
      </c>
      <c r="Q11" s="78" t="s">
        <v>831</v>
      </c>
      <c r="R11" s="232" t="s">
        <v>1090</v>
      </c>
      <c r="S11" s="78" t="s">
        <v>796</v>
      </c>
      <c r="T11" s="78"/>
    </row>
    <row r="12" spans="1:20" ht="34">
      <c r="A12" s="16" t="s">
        <v>834</v>
      </c>
      <c r="B12" s="78"/>
      <c r="C12" s="77">
        <v>8037</v>
      </c>
      <c r="D12" s="232" t="s">
        <v>1090</v>
      </c>
      <c r="E12" s="77">
        <v>0</v>
      </c>
      <c r="F12" s="108" t="s">
        <v>801</v>
      </c>
      <c r="G12" s="108" t="s">
        <v>801</v>
      </c>
      <c r="H12" s="108" t="s">
        <v>801</v>
      </c>
      <c r="I12" s="108" t="s">
        <v>801</v>
      </c>
      <c r="J12" s="108" t="s">
        <v>801</v>
      </c>
      <c r="K12" s="78" t="s">
        <v>831</v>
      </c>
      <c r="L12" s="78" t="s">
        <v>831</v>
      </c>
      <c r="M12" s="78" t="s">
        <v>831</v>
      </c>
      <c r="N12" s="78" t="s">
        <v>831</v>
      </c>
      <c r="O12" s="78" t="s">
        <v>831</v>
      </c>
      <c r="P12" s="78" t="s">
        <v>831</v>
      </c>
      <c r="Q12" s="78" t="s">
        <v>831</v>
      </c>
      <c r="R12" s="232" t="s">
        <v>1090</v>
      </c>
      <c r="S12" s="285"/>
      <c r="T12" s="285"/>
    </row>
    <row r="13" spans="1:20" ht="17">
      <c r="A13" s="80" t="s">
        <v>802</v>
      </c>
      <c r="B13" s="78"/>
      <c r="C13" s="77">
        <v>8037</v>
      </c>
      <c r="D13" s="232" t="s">
        <v>1090</v>
      </c>
      <c r="E13" s="77">
        <v>0</v>
      </c>
      <c r="F13" s="108" t="s">
        <v>801</v>
      </c>
      <c r="G13" s="108" t="s">
        <v>801</v>
      </c>
      <c r="H13" s="108" t="s">
        <v>801</v>
      </c>
      <c r="I13" s="108" t="s">
        <v>801</v>
      </c>
      <c r="J13" s="108" t="s">
        <v>801</v>
      </c>
      <c r="K13" s="78"/>
      <c r="L13" s="78"/>
      <c r="M13" s="78"/>
      <c r="N13" s="78"/>
      <c r="O13" s="78"/>
      <c r="P13" s="78"/>
      <c r="Q13" s="78"/>
      <c r="R13" s="232" t="s">
        <v>1090</v>
      </c>
      <c r="S13" s="78" t="s">
        <v>796</v>
      </c>
      <c r="T13" s="78"/>
    </row>
    <row r="14" spans="1:20" ht="17">
      <c r="A14" s="80" t="s">
        <v>803</v>
      </c>
      <c r="B14" s="78"/>
      <c r="C14" s="77">
        <v>0</v>
      </c>
      <c r="D14" s="232" t="s">
        <v>801</v>
      </c>
      <c r="E14" s="77">
        <v>0</v>
      </c>
      <c r="F14" s="285"/>
      <c r="G14" s="285"/>
      <c r="H14" s="285"/>
      <c r="I14" s="285"/>
      <c r="J14" s="285"/>
      <c r="K14" s="78"/>
      <c r="L14" s="78"/>
      <c r="M14" s="78"/>
      <c r="N14" s="78"/>
      <c r="O14" s="78"/>
      <c r="P14" s="78"/>
      <c r="Q14" s="78"/>
      <c r="R14" s="232">
        <v>0</v>
      </c>
      <c r="S14" s="78"/>
      <c r="T14" s="78" t="s">
        <v>797</v>
      </c>
    </row>
    <row r="15" spans="1:20" ht="51">
      <c r="A15" s="79" t="s">
        <v>804</v>
      </c>
      <c r="B15" s="78"/>
      <c r="C15" s="78"/>
      <c r="D15" s="232"/>
      <c r="E15" s="78"/>
      <c r="F15" s="78"/>
      <c r="G15" s="78"/>
      <c r="H15" s="78"/>
      <c r="I15" s="78"/>
      <c r="J15" s="78"/>
      <c r="K15" s="78"/>
      <c r="L15" s="78"/>
      <c r="M15" s="78"/>
      <c r="N15" s="78"/>
      <c r="O15" s="78"/>
      <c r="P15" s="78"/>
      <c r="Q15" s="78"/>
      <c r="R15" s="232"/>
      <c r="S15" s="78"/>
      <c r="T15" s="78"/>
    </row>
    <row r="16" spans="1:20" ht="34">
      <c r="A16" s="16" t="s">
        <v>835</v>
      </c>
      <c r="B16" s="78" t="s">
        <v>836</v>
      </c>
      <c r="C16" s="77">
        <v>74</v>
      </c>
      <c r="D16" s="232" t="s">
        <v>801</v>
      </c>
      <c r="E16" s="78" t="s">
        <v>837</v>
      </c>
      <c r="F16" s="78" t="s">
        <v>830</v>
      </c>
      <c r="G16" s="78" t="s">
        <v>830</v>
      </c>
      <c r="H16" s="78" t="s">
        <v>830</v>
      </c>
      <c r="I16" s="78" t="s">
        <v>830</v>
      </c>
      <c r="J16" s="78" t="s">
        <v>830</v>
      </c>
      <c r="K16" s="78"/>
      <c r="L16" s="78"/>
      <c r="M16" s="78"/>
      <c r="N16" s="78"/>
      <c r="O16" s="78"/>
      <c r="P16" s="78"/>
      <c r="Q16" s="78"/>
      <c r="R16" s="232">
        <v>0</v>
      </c>
      <c r="S16" s="78"/>
      <c r="T16" s="78"/>
    </row>
    <row r="17" spans="1:24" ht="17">
      <c r="A17" s="16" t="s">
        <v>838</v>
      </c>
      <c r="B17" s="78" t="s">
        <v>839</v>
      </c>
      <c r="C17" s="77">
        <v>134698</v>
      </c>
      <c r="D17" s="232" t="s">
        <v>1080</v>
      </c>
      <c r="E17" s="78"/>
      <c r="F17" s="78"/>
      <c r="G17" s="78"/>
      <c r="H17" s="78"/>
      <c r="I17" s="78"/>
      <c r="J17" s="78"/>
      <c r="K17" s="78"/>
      <c r="L17" s="78"/>
      <c r="M17" s="78"/>
      <c r="N17" s="78"/>
      <c r="O17" s="78"/>
      <c r="P17" s="78"/>
      <c r="Q17" s="78"/>
      <c r="R17" s="232">
        <v>0</v>
      </c>
      <c r="S17" s="78"/>
      <c r="T17" s="78"/>
    </row>
    <row r="18" spans="1:24" ht="34">
      <c r="A18" s="16" t="s">
        <v>827</v>
      </c>
      <c r="B18" s="78" t="s">
        <v>828</v>
      </c>
      <c r="C18" s="77">
        <v>1239</v>
      </c>
      <c r="D18" s="232" t="s">
        <v>801</v>
      </c>
      <c r="E18" s="78" t="s">
        <v>837</v>
      </c>
      <c r="F18" s="78" t="s">
        <v>830</v>
      </c>
      <c r="G18" s="78" t="s">
        <v>830</v>
      </c>
      <c r="H18" s="78" t="s">
        <v>830</v>
      </c>
      <c r="I18" s="78" t="s">
        <v>830</v>
      </c>
      <c r="J18" s="78" t="s">
        <v>830</v>
      </c>
      <c r="K18" s="78"/>
      <c r="L18" s="78"/>
      <c r="M18" s="78"/>
      <c r="N18" s="78"/>
      <c r="O18" s="78"/>
      <c r="P18" s="78"/>
      <c r="Q18" s="78"/>
      <c r="R18" s="232">
        <v>0</v>
      </c>
      <c r="S18" s="78"/>
      <c r="T18" s="78"/>
    </row>
    <row r="19" spans="1:24" ht="51">
      <c r="A19" s="16" t="s">
        <v>840</v>
      </c>
      <c r="B19" s="78" t="s">
        <v>841</v>
      </c>
      <c r="C19" s="77">
        <v>509</v>
      </c>
      <c r="D19" s="232" t="s">
        <v>801</v>
      </c>
      <c r="E19" s="78"/>
      <c r="F19" s="78"/>
      <c r="G19" s="78"/>
      <c r="H19" s="78"/>
      <c r="I19" s="78"/>
      <c r="J19" s="78"/>
      <c r="K19" s="78"/>
      <c r="L19" s="78"/>
      <c r="M19" s="78"/>
      <c r="N19" s="78"/>
      <c r="O19" s="78"/>
      <c r="P19" s="78"/>
      <c r="Q19" s="78"/>
      <c r="R19" s="232">
        <v>0</v>
      </c>
      <c r="S19" s="78"/>
      <c r="T19" s="78"/>
    </row>
    <row r="20" spans="1:24" ht="34">
      <c r="A20" s="16" t="s">
        <v>832</v>
      </c>
      <c r="B20" s="78" t="s">
        <v>833</v>
      </c>
      <c r="C20" s="77">
        <v>41</v>
      </c>
      <c r="D20" s="232" t="s">
        <v>801</v>
      </c>
      <c r="E20" s="78"/>
      <c r="F20" s="78"/>
      <c r="G20" s="78"/>
      <c r="H20" s="78"/>
      <c r="I20" s="78"/>
      <c r="J20" s="78"/>
      <c r="K20" s="78"/>
      <c r="L20" s="78"/>
      <c r="M20" s="78"/>
      <c r="N20" s="78"/>
      <c r="O20" s="78"/>
      <c r="P20" s="78"/>
      <c r="Q20" s="78"/>
      <c r="R20" s="232">
        <v>0</v>
      </c>
      <c r="S20" s="78"/>
      <c r="T20" s="78"/>
    </row>
    <row r="21" spans="1:24" ht="17">
      <c r="A21" s="16" t="s">
        <v>842</v>
      </c>
      <c r="B21" s="78" t="s">
        <v>843</v>
      </c>
      <c r="C21" s="77">
        <v>454</v>
      </c>
      <c r="D21" s="232" t="s">
        <v>801</v>
      </c>
      <c r="E21" s="78"/>
      <c r="F21" s="78"/>
      <c r="G21" s="78"/>
      <c r="H21" s="78"/>
      <c r="I21" s="78"/>
      <c r="J21" s="78"/>
      <c r="K21" s="78"/>
      <c r="L21" s="78"/>
      <c r="M21" s="78"/>
      <c r="N21" s="78"/>
      <c r="O21" s="78"/>
      <c r="P21" s="78"/>
      <c r="Q21" s="78"/>
      <c r="R21" s="232">
        <v>0</v>
      </c>
      <c r="S21" s="78"/>
      <c r="T21" s="78"/>
    </row>
    <row r="22" spans="1:24" ht="51">
      <c r="A22" s="16" t="s">
        <v>844</v>
      </c>
      <c r="B22" s="78"/>
      <c r="C22" s="77">
        <v>137015</v>
      </c>
      <c r="D22" s="232" t="s">
        <v>1091</v>
      </c>
      <c r="E22" s="77">
        <v>18</v>
      </c>
      <c r="F22" s="108" t="s">
        <v>801</v>
      </c>
      <c r="G22" s="108" t="s">
        <v>801</v>
      </c>
      <c r="H22" s="108" t="s">
        <v>801</v>
      </c>
      <c r="I22" s="108" t="s">
        <v>801</v>
      </c>
      <c r="J22" s="108" t="s">
        <v>801</v>
      </c>
      <c r="K22" s="285"/>
      <c r="L22" s="285"/>
      <c r="M22" s="285"/>
      <c r="N22" s="285"/>
      <c r="O22" s="285"/>
      <c r="P22" s="285"/>
      <c r="Q22" s="285"/>
      <c r="R22" s="232">
        <v>0</v>
      </c>
      <c r="S22" s="285"/>
      <c r="T22" s="285"/>
    </row>
    <row r="23" spans="1:24" ht="34">
      <c r="A23" s="173" t="s">
        <v>845</v>
      </c>
      <c r="B23" s="107"/>
      <c r="C23" s="136">
        <v>145052</v>
      </c>
      <c r="D23" s="234" t="s">
        <v>1092</v>
      </c>
      <c r="E23" s="77">
        <v>19</v>
      </c>
      <c r="F23" s="108" t="s">
        <v>801</v>
      </c>
      <c r="G23" s="108" t="s">
        <v>801</v>
      </c>
      <c r="H23" s="108" t="s">
        <v>801</v>
      </c>
      <c r="I23" s="108" t="s">
        <v>801</v>
      </c>
      <c r="J23" s="108" t="s">
        <v>801</v>
      </c>
      <c r="K23" s="290"/>
      <c r="L23" s="290"/>
      <c r="M23" s="290"/>
      <c r="N23" s="290"/>
      <c r="O23" s="290"/>
      <c r="P23" s="290"/>
      <c r="Q23" s="290"/>
      <c r="R23" s="234" t="s">
        <v>1143</v>
      </c>
      <c r="S23" s="290"/>
      <c r="T23" s="290"/>
    </row>
    <row r="24" spans="1:24" ht="17">
      <c r="A24" s="292" t="s">
        <v>807</v>
      </c>
      <c r="B24" s="107"/>
      <c r="C24" s="107"/>
      <c r="D24" s="234"/>
      <c r="E24" s="199"/>
      <c r="F24" s="199"/>
      <c r="G24" s="199"/>
      <c r="H24" s="199"/>
      <c r="I24" s="199"/>
      <c r="J24" s="199"/>
      <c r="K24" s="199"/>
      <c r="L24" s="199"/>
      <c r="M24" s="199"/>
      <c r="N24" s="199"/>
      <c r="O24" s="199"/>
      <c r="P24" s="199"/>
      <c r="Q24" s="199"/>
      <c r="R24" s="199"/>
      <c r="S24" s="199"/>
      <c r="T24" s="199"/>
    </row>
    <row r="25" spans="1:24" ht="17">
      <c r="A25" s="16" t="s">
        <v>846</v>
      </c>
      <c r="B25" s="78"/>
      <c r="C25" s="77">
        <v>625542</v>
      </c>
      <c r="D25" s="232" t="s">
        <v>1093</v>
      </c>
      <c r="E25" s="97"/>
      <c r="F25" s="97"/>
      <c r="G25" s="97"/>
      <c r="H25" s="97"/>
      <c r="I25" s="97"/>
      <c r="J25" s="97"/>
      <c r="K25" s="97"/>
      <c r="L25" s="97"/>
      <c r="M25" s="97"/>
      <c r="N25" s="97"/>
      <c r="O25" s="97"/>
      <c r="P25" s="97"/>
      <c r="Q25" s="97"/>
      <c r="R25" s="97"/>
      <c r="S25" s="97"/>
      <c r="T25" s="97"/>
    </row>
    <row r="26" spans="1:24" ht="17">
      <c r="A26" s="124" t="s">
        <v>809</v>
      </c>
      <c r="B26" s="83"/>
      <c r="C26" s="82">
        <v>770594</v>
      </c>
      <c r="D26" s="236" t="s">
        <v>1056</v>
      </c>
      <c r="E26" s="28"/>
      <c r="F26" s="28"/>
      <c r="G26" s="28"/>
      <c r="H26" s="28"/>
      <c r="I26" s="28"/>
      <c r="J26" s="28"/>
      <c r="K26" s="28"/>
      <c r="L26" s="28"/>
      <c r="M26" s="28"/>
      <c r="N26" s="28"/>
      <c r="O26" s="28"/>
      <c r="P26" s="28"/>
      <c r="Q26" s="28"/>
      <c r="R26" s="28"/>
      <c r="S26" s="28"/>
      <c r="T26" s="28"/>
    </row>
    <row r="27" spans="1:24" ht="15.75" customHeight="1">
      <c r="A27" s="373" t="s">
        <v>847</v>
      </c>
      <c r="B27" s="373"/>
      <c r="C27" s="373"/>
      <c r="D27" s="373"/>
      <c r="E27" s="373"/>
      <c r="F27" s="373"/>
      <c r="G27" s="373"/>
      <c r="H27" s="373"/>
      <c r="I27" s="373"/>
      <c r="J27" s="373"/>
      <c r="K27" s="373"/>
      <c r="L27" s="373"/>
      <c r="M27" s="373"/>
      <c r="N27" s="373"/>
      <c r="O27" s="373"/>
      <c r="P27" s="373"/>
      <c r="Q27" s="373"/>
      <c r="R27" s="373"/>
      <c r="S27" s="373"/>
      <c r="T27" s="373"/>
      <c r="U27" s="128"/>
      <c r="V27" s="128"/>
      <c r="W27" s="128"/>
      <c r="X27" s="128"/>
    </row>
    <row r="32" spans="1:24" ht="23.25" customHeight="1">
      <c r="A32" s="311"/>
      <c r="B32" s="311"/>
      <c r="C32" s="311"/>
      <c r="D32" s="311"/>
      <c r="E32" s="311"/>
      <c r="F32" s="311"/>
      <c r="G32" s="311"/>
      <c r="H32" s="311"/>
      <c r="I32" s="311"/>
      <c r="J32" s="311"/>
      <c r="K32" s="311"/>
      <c r="L32" s="311"/>
    </row>
  </sheetData>
  <mergeCells count="8">
    <mergeCell ref="A3:I3"/>
    <mergeCell ref="A2:I2"/>
    <mergeCell ref="K5:P5"/>
    <mergeCell ref="A32:L32"/>
    <mergeCell ref="A27:T27"/>
    <mergeCell ref="B5:D5"/>
    <mergeCell ref="E5:J5"/>
    <mergeCell ref="A4:T4"/>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C13"/>
  <sheetViews>
    <sheetView showRuler="0" workbookViewId="0">
      <selection activeCell="A2" sqref="A2:C2"/>
    </sheetView>
  </sheetViews>
  <sheetFormatPr baseColWidth="10" defaultColWidth="12.83203125" defaultRowHeight="13"/>
  <cols>
    <col min="1" max="1" width="62.1640625" customWidth="1"/>
    <col min="2" max="3" width="41.33203125" customWidth="1"/>
  </cols>
  <sheetData>
    <row r="1" spans="1:3" ht="14">
      <c r="A1" s="239" t="str">
        <f>HYPERLINK("#'Index'!A1","Back to index")</f>
        <v>Back to index</v>
      </c>
    </row>
    <row r="2" spans="1:3" ht="25" customHeight="1">
      <c r="A2" s="310" t="s">
        <v>49</v>
      </c>
      <c r="B2" s="311"/>
      <c r="C2" s="311"/>
    </row>
    <row r="3" spans="1:3" ht="22.5" customHeight="1">
      <c r="A3" s="312" t="s">
        <v>36</v>
      </c>
      <c r="B3" s="311"/>
      <c r="C3" s="311"/>
    </row>
    <row r="4" spans="1:3">
      <c r="A4" s="323"/>
      <c r="B4" s="323"/>
      <c r="C4" s="323"/>
    </row>
    <row r="5" spans="1:3" ht="16">
      <c r="A5" s="49"/>
      <c r="B5" s="394" t="s">
        <v>1192</v>
      </c>
      <c r="C5" s="394"/>
    </row>
    <row r="6" spans="1:3" ht="17">
      <c r="A6" s="5"/>
      <c r="B6" s="94" t="s">
        <v>810</v>
      </c>
      <c r="C6" s="94" t="s">
        <v>811</v>
      </c>
    </row>
    <row r="7" spans="1:3" ht="17">
      <c r="A7" s="200" t="s">
        <v>812</v>
      </c>
      <c r="B7" s="201">
        <v>0.01</v>
      </c>
      <c r="C7" s="201">
        <v>0.17800000000000002</v>
      </c>
    </row>
    <row r="8" spans="1:3" ht="17">
      <c r="A8" s="4" t="s">
        <v>813</v>
      </c>
      <c r="B8" s="202">
        <v>0</v>
      </c>
      <c r="C8" s="202">
        <v>0</v>
      </c>
    </row>
    <row r="9" spans="1:3" ht="17">
      <c r="A9" s="4" t="s">
        <v>814</v>
      </c>
      <c r="B9" s="202">
        <v>0</v>
      </c>
      <c r="C9" s="202">
        <v>0</v>
      </c>
    </row>
    <row r="10" spans="1:3" ht="17">
      <c r="A10" s="4" t="s">
        <v>815</v>
      </c>
      <c r="B10" s="202">
        <v>0</v>
      </c>
      <c r="C10" s="202">
        <v>0</v>
      </c>
    </row>
    <row r="11" spans="1:3" ht="17">
      <c r="A11" s="4" t="s">
        <v>816</v>
      </c>
      <c r="B11" s="202">
        <v>0</v>
      </c>
      <c r="C11" s="202">
        <v>0</v>
      </c>
    </row>
    <row r="12" spans="1:3" ht="17">
      <c r="A12" s="203" t="s">
        <v>817</v>
      </c>
      <c r="B12" s="204">
        <v>0</v>
      </c>
      <c r="C12" s="204">
        <v>0</v>
      </c>
    </row>
    <row r="13" spans="1:3" ht="16">
      <c r="A13" s="32"/>
      <c r="B13" s="32"/>
      <c r="C13" s="32"/>
    </row>
  </sheetData>
  <mergeCells count="4">
    <mergeCell ref="A2:C2"/>
    <mergeCell ref="A3:C3"/>
    <mergeCell ref="B5:C5"/>
    <mergeCell ref="A4:C4"/>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F8"/>
  <sheetViews>
    <sheetView showRuler="0" workbookViewId="0">
      <selection activeCell="A2" sqref="A2:F2"/>
    </sheetView>
  </sheetViews>
  <sheetFormatPr baseColWidth="10" defaultColWidth="12.83203125" defaultRowHeight="13"/>
  <cols>
    <col min="1" max="1" width="42.83203125" customWidth="1"/>
    <col min="2" max="2" width="21.33203125" customWidth="1"/>
    <col min="3" max="6" width="16.83203125" customWidth="1"/>
  </cols>
  <sheetData>
    <row r="1" spans="1:6" ht="14">
      <c r="A1" s="239" t="str">
        <f>HYPERLINK("#'Index'!A1","Back to index")</f>
        <v>Back to index</v>
      </c>
    </row>
    <row r="2" spans="1:6" ht="25" customHeight="1">
      <c r="A2" s="310" t="s">
        <v>49</v>
      </c>
      <c r="B2" s="311"/>
      <c r="C2" s="311"/>
      <c r="D2" s="311"/>
      <c r="E2" s="311"/>
      <c r="F2" s="311"/>
    </row>
    <row r="3" spans="1:6" ht="22.5" customHeight="1">
      <c r="A3" s="312" t="s">
        <v>38</v>
      </c>
      <c r="B3" s="311"/>
      <c r="C3" s="311"/>
      <c r="D3" s="311"/>
      <c r="E3" s="311"/>
      <c r="F3" s="311"/>
    </row>
    <row r="4" spans="1:6">
      <c r="A4" s="323"/>
      <c r="B4" s="323"/>
      <c r="C4" s="323"/>
      <c r="D4" s="323"/>
      <c r="E4" s="323"/>
      <c r="F4" s="323"/>
    </row>
    <row r="5" spans="1:6" ht="17" thickBot="1">
      <c r="A5" s="50"/>
      <c r="B5" s="293"/>
      <c r="C5" s="349" t="s">
        <v>848</v>
      </c>
      <c r="D5" s="349"/>
      <c r="E5" s="349"/>
      <c r="F5" s="49"/>
    </row>
    <row r="6" spans="1:6" ht="52" thickBot="1">
      <c r="A6" s="5" t="s">
        <v>849</v>
      </c>
      <c r="B6" s="28" t="s">
        <v>850</v>
      </c>
      <c r="C6" s="94" t="s">
        <v>851</v>
      </c>
      <c r="D6" s="94" t="s">
        <v>852</v>
      </c>
      <c r="E6" s="94" t="s">
        <v>853</v>
      </c>
      <c r="F6" s="28" t="s">
        <v>854</v>
      </c>
    </row>
    <row r="7" spans="1:6" ht="18" thickBot="1">
      <c r="A7" s="125" t="s">
        <v>855</v>
      </c>
      <c r="B7" s="132">
        <v>0</v>
      </c>
      <c r="C7" s="132">
        <v>0</v>
      </c>
      <c r="D7" s="132">
        <v>0</v>
      </c>
      <c r="E7" s="132">
        <v>0</v>
      </c>
      <c r="F7" s="132">
        <v>0</v>
      </c>
    </row>
    <row r="8" spans="1:6" ht="15.75" customHeight="1">
      <c r="A8" s="355" t="s">
        <v>856</v>
      </c>
      <c r="B8" s="355"/>
      <c r="C8" s="355"/>
      <c r="D8" s="355"/>
      <c r="E8" s="355"/>
      <c r="F8" s="355"/>
    </row>
  </sheetData>
  <mergeCells count="5">
    <mergeCell ref="A2:F2"/>
    <mergeCell ref="A3:F3"/>
    <mergeCell ref="A8:F8"/>
    <mergeCell ref="C5:E5"/>
    <mergeCell ref="A4:F4"/>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E8"/>
  <sheetViews>
    <sheetView showRuler="0" workbookViewId="0">
      <selection activeCell="A2" sqref="A2:E2"/>
    </sheetView>
  </sheetViews>
  <sheetFormatPr baseColWidth="10" defaultColWidth="12.83203125" defaultRowHeight="13"/>
  <cols>
    <col min="1" max="1" width="42.83203125" customWidth="1"/>
    <col min="2" max="3" width="19.83203125" customWidth="1"/>
    <col min="4" max="4" width="19.1640625" customWidth="1"/>
    <col min="5" max="5" width="19.83203125" customWidth="1"/>
  </cols>
  <sheetData>
    <row r="1" spans="1:5" ht="14">
      <c r="A1" s="239" t="str">
        <f>HYPERLINK("#'Index'!A1","Back to index")</f>
        <v>Back to index</v>
      </c>
    </row>
    <row r="2" spans="1:5" ht="25" customHeight="1">
      <c r="A2" s="310" t="s">
        <v>49</v>
      </c>
      <c r="B2" s="311"/>
      <c r="C2" s="311"/>
      <c r="D2" s="311"/>
      <c r="E2" s="311"/>
    </row>
    <row r="3" spans="1:5" ht="22.5" customHeight="1">
      <c r="A3" s="312" t="s">
        <v>39</v>
      </c>
      <c r="B3" s="311"/>
      <c r="C3" s="311"/>
      <c r="D3" s="311"/>
      <c r="E3" s="311"/>
    </row>
    <row r="4" spans="1:5">
      <c r="A4" s="323"/>
      <c r="B4" s="323"/>
      <c r="C4" s="323"/>
      <c r="D4" s="323"/>
      <c r="E4" s="323"/>
    </row>
    <row r="5" spans="1:5" ht="16">
      <c r="A5" s="50"/>
      <c r="B5" s="50"/>
      <c r="C5" s="349" t="s">
        <v>848</v>
      </c>
      <c r="D5" s="349"/>
      <c r="E5" s="349"/>
    </row>
    <row r="6" spans="1:5" ht="34">
      <c r="A6" s="5" t="s">
        <v>849</v>
      </c>
      <c r="B6" s="28" t="s">
        <v>857</v>
      </c>
      <c r="C6" s="94" t="s">
        <v>858</v>
      </c>
      <c r="D6" s="94" t="s">
        <v>859</v>
      </c>
      <c r="E6" s="94" t="s">
        <v>860</v>
      </c>
    </row>
    <row r="7" spans="1:5" ht="17">
      <c r="A7" s="125" t="s">
        <v>855</v>
      </c>
      <c r="B7" s="132">
        <v>0</v>
      </c>
      <c r="C7" s="132">
        <v>0</v>
      </c>
      <c r="D7" s="132">
        <v>0</v>
      </c>
      <c r="E7" s="132">
        <v>0</v>
      </c>
    </row>
    <row r="8" spans="1:5" ht="15.75" customHeight="1">
      <c r="A8" s="324" t="s">
        <v>861</v>
      </c>
      <c r="B8" s="324"/>
      <c r="C8" s="324"/>
      <c r="D8" s="324"/>
      <c r="E8" s="324"/>
    </row>
  </sheetData>
  <mergeCells count="5">
    <mergeCell ref="A2:E2"/>
    <mergeCell ref="A3:E3"/>
    <mergeCell ref="A8:E8"/>
    <mergeCell ref="C5:E5"/>
    <mergeCell ref="A4:E4"/>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F10"/>
  <sheetViews>
    <sheetView showRuler="0" workbookViewId="0">
      <selection activeCell="A2" sqref="A2:F2"/>
    </sheetView>
  </sheetViews>
  <sheetFormatPr baseColWidth="10" defaultColWidth="12.83203125" defaultRowHeight="13"/>
  <cols>
    <col min="1" max="1" width="42.83203125" customWidth="1"/>
    <col min="2" max="2" width="16" customWidth="1"/>
    <col min="3" max="3" width="62.1640625" customWidth="1"/>
    <col min="4" max="4" width="41.33203125" customWidth="1"/>
    <col min="5" max="5" width="51.6640625" customWidth="1"/>
    <col min="6" max="6" width="16" customWidth="1"/>
  </cols>
  <sheetData>
    <row r="1" spans="1:6" ht="14">
      <c r="A1" s="239" t="str">
        <f>HYPERLINK("#'Index'!A1","Back to index")</f>
        <v>Back to index</v>
      </c>
    </row>
    <row r="2" spans="1:6" ht="26" customHeight="1">
      <c r="A2" s="310" t="s">
        <v>49</v>
      </c>
      <c r="B2" s="311"/>
      <c r="C2" s="311"/>
      <c r="D2" s="311"/>
      <c r="E2" s="311"/>
      <c r="F2" s="311"/>
    </row>
    <row r="3" spans="1:6" ht="22.5" customHeight="1">
      <c r="A3" s="312" t="s">
        <v>40</v>
      </c>
      <c r="B3" s="311"/>
      <c r="C3" s="311"/>
      <c r="D3" s="311"/>
      <c r="E3" s="311"/>
      <c r="F3" s="311"/>
    </row>
    <row r="4" spans="1:6">
      <c r="A4" s="323"/>
      <c r="B4" s="323"/>
      <c r="C4" s="323"/>
      <c r="D4" s="323"/>
      <c r="E4" s="323"/>
      <c r="F4" s="323"/>
    </row>
    <row r="5" spans="1:6" ht="16">
      <c r="A5" s="50"/>
      <c r="B5" s="50"/>
      <c r="C5" s="349" t="s">
        <v>848</v>
      </c>
      <c r="D5" s="349"/>
      <c r="E5" s="349"/>
      <c r="F5" s="49"/>
    </row>
    <row r="6" spans="1:6" ht="85">
      <c r="A6" s="5" t="s">
        <v>849</v>
      </c>
      <c r="B6" s="28" t="s">
        <v>825</v>
      </c>
      <c r="C6" s="94" t="s">
        <v>862</v>
      </c>
      <c r="D6" s="94" t="s">
        <v>863</v>
      </c>
      <c r="E6" s="94" t="s">
        <v>864</v>
      </c>
      <c r="F6" s="28" t="s">
        <v>865</v>
      </c>
    </row>
    <row r="7" spans="1:6" ht="17">
      <c r="A7" s="33" t="s">
        <v>855</v>
      </c>
      <c r="B7" s="76"/>
      <c r="C7" s="205"/>
      <c r="D7" s="206"/>
      <c r="E7" s="206"/>
      <c r="F7" s="206"/>
    </row>
    <row r="8" spans="1:6" ht="34">
      <c r="A8" s="16" t="s">
        <v>866</v>
      </c>
      <c r="B8" s="88">
        <v>139</v>
      </c>
      <c r="C8" s="88">
        <v>139</v>
      </c>
      <c r="D8" s="108" t="s">
        <v>801</v>
      </c>
      <c r="E8" s="108" t="s">
        <v>801</v>
      </c>
      <c r="F8" s="108" t="s">
        <v>801</v>
      </c>
    </row>
    <row r="9" spans="1:6" ht="34">
      <c r="A9" s="21" t="s">
        <v>867</v>
      </c>
      <c r="B9" s="95">
        <v>7898</v>
      </c>
      <c r="C9" s="95">
        <v>7898</v>
      </c>
      <c r="D9" s="110" t="s">
        <v>801</v>
      </c>
      <c r="E9" s="110" t="s">
        <v>801</v>
      </c>
      <c r="F9" s="110" t="s">
        <v>801</v>
      </c>
    </row>
    <row r="10" spans="1:6" ht="16">
      <c r="A10" s="332" t="s">
        <v>242</v>
      </c>
      <c r="B10" s="332"/>
      <c r="C10" s="332"/>
      <c r="D10" s="332"/>
      <c r="E10" s="332"/>
      <c r="F10" s="332"/>
    </row>
  </sheetData>
  <mergeCells count="5">
    <mergeCell ref="A2:F2"/>
    <mergeCell ref="A3:F3"/>
    <mergeCell ref="C5:E5"/>
    <mergeCell ref="A10:F10"/>
    <mergeCell ref="A4:F4"/>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C9"/>
  <sheetViews>
    <sheetView showRuler="0" workbookViewId="0">
      <selection activeCell="A2" sqref="A2:C2"/>
    </sheetView>
  </sheetViews>
  <sheetFormatPr baseColWidth="10" defaultColWidth="12.83203125" defaultRowHeight="13"/>
  <cols>
    <col min="1" max="1" width="32.83203125" customWidth="1"/>
    <col min="2" max="3" width="104.1640625" customWidth="1"/>
  </cols>
  <sheetData>
    <row r="1" spans="1:3" ht="13" customHeight="1">
      <c r="A1" s="239" t="str">
        <f>HYPERLINK("#'Index'!A1","Back to index")</f>
        <v>Back to index</v>
      </c>
      <c r="B1" s="239"/>
    </row>
    <row r="2" spans="1:3" ht="25" customHeight="1">
      <c r="A2" s="310" t="s">
        <v>49</v>
      </c>
      <c r="B2" s="311"/>
      <c r="C2" s="311"/>
    </row>
    <row r="3" spans="1:3" ht="22.5" customHeight="1">
      <c r="A3" s="312" t="s">
        <v>41</v>
      </c>
      <c r="B3" s="311"/>
      <c r="C3" s="311"/>
    </row>
    <row r="4" spans="1:3">
      <c r="A4" s="323"/>
      <c r="B4" s="323"/>
      <c r="C4" s="323"/>
    </row>
    <row r="5" spans="1:3" ht="17">
      <c r="A5" s="99"/>
      <c r="B5" s="5" t="s">
        <v>868</v>
      </c>
      <c r="C5" s="5" t="s">
        <v>869</v>
      </c>
    </row>
    <row r="6" spans="1:3" ht="16">
      <c r="A6" s="333" t="s">
        <v>870</v>
      </c>
      <c r="B6" s="333"/>
      <c r="C6" s="333"/>
    </row>
    <row r="7" spans="1:3" ht="17" customHeight="1">
      <c r="A7" s="16" t="s">
        <v>828</v>
      </c>
      <c r="B7" s="16" t="s">
        <v>827</v>
      </c>
      <c r="C7" s="16" t="s">
        <v>871</v>
      </c>
    </row>
    <row r="8" spans="1:3" ht="17">
      <c r="A8" s="21" t="s">
        <v>833</v>
      </c>
      <c r="B8" s="21" t="s">
        <v>832</v>
      </c>
      <c r="C8" s="21" t="s">
        <v>872</v>
      </c>
    </row>
    <row r="9" spans="1:3" ht="16">
      <c r="A9" s="332"/>
      <c r="B9" s="332"/>
      <c r="C9" s="332"/>
    </row>
  </sheetData>
  <mergeCells count="5">
    <mergeCell ref="A2:C2"/>
    <mergeCell ref="A3:C3"/>
    <mergeCell ref="A6:C6"/>
    <mergeCell ref="A9:C9"/>
    <mergeCell ref="A4:C4"/>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C14"/>
  <sheetViews>
    <sheetView showRuler="0" workbookViewId="0">
      <selection activeCell="A2" sqref="A2:C2"/>
    </sheetView>
  </sheetViews>
  <sheetFormatPr baseColWidth="10" defaultColWidth="12.83203125" defaultRowHeight="13"/>
  <cols>
    <col min="1" max="1" width="9.83203125" customWidth="1"/>
    <col min="2" max="2" width="98" customWidth="1"/>
    <col min="3" max="3" width="10.5" customWidth="1"/>
  </cols>
  <sheetData>
    <row r="1" spans="1:3">
      <c r="A1" s="336" t="str">
        <f>HYPERLINK("#'Index'!A1","Back to index")</f>
        <v>Back to index</v>
      </c>
      <c r="B1" s="336"/>
    </row>
    <row r="2" spans="1:3" ht="26" customHeight="1">
      <c r="A2" s="310" t="s">
        <v>49</v>
      </c>
      <c r="B2" s="311"/>
      <c r="C2" s="311"/>
    </row>
    <row r="3" spans="1:3" ht="22.5" customHeight="1">
      <c r="A3" s="312" t="s">
        <v>42</v>
      </c>
      <c r="B3" s="311"/>
      <c r="C3" s="311"/>
    </row>
    <row r="4" spans="1:3">
      <c r="A4" s="323"/>
      <c r="B4" s="323"/>
      <c r="C4" s="323"/>
    </row>
    <row r="5" spans="1:3" ht="17">
      <c r="A5" s="207" t="s">
        <v>873</v>
      </c>
      <c r="B5" s="208" t="s">
        <v>874</v>
      </c>
      <c r="C5" s="57" t="s">
        <v>875</v>
      </c>
    </row>
    <row r="6" spans="1:3" ht="17">
      <c r="A6" s="209"/>
      <c r="B6" s="296" t="s">
        <v>876</v>
      </c>
      <c r="C6" s="210"/>
    </row>
    <row r="7" spans="1:3" ht="51">
      <c r="A7" s="294">
        <v>1</v>
      </c>
      <c r="B7" s="297" t="s">
        <v>877</v>
      </c>
      <c r="C7" s="247" t="s">
        <v>878</v>
      </c>
    </row>
    <row r="8" spans="1:3" ht="68">
      <c r="A8" s="294">
        <v>2</v>
      </c>
      <c r="B8" s="297" t="s">
        <v>879</v>
      </c>
      <c r="C8" s="247" t="s">
        <v>878</v>
      </c>
    </row>
    <row r="9" spans="1:3" ht="51">
      <c r="A9" s="294">
        <v>3</v>
      </c>
      <c r="B9" s="297" t="s">
        <v>880</v>
      </c>
      <c r="C9" s="247" t="s">
        <v>878</v>
      </c>
    </row>
    <row r="10" spans="1:3" ht="17">
      <c r="A10" s="295"/>
      <c r="B10" s="298" t="s">
        <v>881</v>
      </c>
      <c r="C10" s="247"/>
    </row>
    <row r="11" spans="1:3" ht="34">
      <c r="A11" s="294">
        <v>4</v>
      </c>
      <c r="B11" s="297" t="s">
        <v>882</v>
      </c>
      <c r="C11" s="247" t="s">
        <v>878</v>
      </c>
    </row>
    <row r="12" spans="1:3" ht="34">
      <c r="A12" s="294">
        <v>5</v>
      </c>
      <c r="B12" s="297" t="s">
        <v>883</v>
      </c>
      <c r="C12" s="247" t="s">
        <v>878</v>
      </c>
    </row>
    <row r="13" spans="1:3" ht="34">
      <c r="A13" s="211">
        <v>6</v>
      </c>
      <c r="B13" s="299" t="s">
        <v>884</v>
      </c>
      <c r="C13" s="98" t="s">
        <v>878</v>
      </c>
    </row>
    <row r="14" spans="1:3">
      <c r="A14" s="324"/>
      <c r="B14" s="324"/>
      <c r="C14" s="324"/>
    </row>
  </sheetData>
  <mergeCells count="5">
    <mergeCell ref="A2:C2"/>
    <mergeCell ref="A3:C3"/>
    <mergeCell ref="A14:C14"/>
    <mergeCell ref="A1:B1"/>
    <mergeCell ref="A4:C4"/>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D28"/>
  <sheetViews>
    <sheetView showRuler="0" workbookViewId="0">
      <selection activeCell="A2" sqref="A2:D2"/>
    </sheetView>
  </sheetViews>
  <sheetFormatPr baseColWidth="10" defaultColWidth="12.83203125" defaultRowHeight="13"/>
  <cols>
    <col min="1" max="1" width="56.5" customWidth="1"/>
    <col min="2" max="4" width="16.83203125" customWidth="1"/>
  </cols>
  <sheetData>
    <row r="1" spans="1:4" ht="14">
      <c r="A1" s="238" t="str">
        <f>HYPERLINK("#'Index'!A1","Back to index")</f>
        <v>Back to index</v>
      </c>
    </row>
    <row r="2" spans="1:4" ht="26" customHeight="1">
      <c r="A2" s="310" t="s">
        <v>49</v>
      </c>
      <c r="B2" s="311"/>
      <c r="C2" s="311"/>
      <c r="D2" s="311"/>
    </row>
    <row r="3" spans="1:4" ht="39.25" customHeight="1">
      <c r="A3" s="312" t="s">
        <v>43</v>
      </c>
      <c r="B3" s="311"/>
      <c r="C3" s="311"/>
      <c r="D3" s="311"/>
    </row>
    <row r="4" spans="1:4">
      <c r="A4" s="323"/>
      <c r="B4" s="323"/>
      <c r="C4" s="323"/>
      <c r="D4" s="323"/>
    </row>
    <row r="5" spans="1:4" ht="17">
      <c r="A5" s="5" t="s">
        <v>332</v>
      </c>
      <c r="B5" s="28" t="s">
        <v>885</v>
      </c>
      <c r="C5" s="29" t="s">
        <v>501</v>
      </c>
      <c r="D5" s="28" t="s">
        <v>502</v>
      </c>
    </row>
    <row r="6" spans="1:4" ht="17">
      <c r="A6" s="33" t="s">
        <v>506</v>
      </c>
      <c r="B6" s="129" t="s">
        <v>886</v>
      </c>
      <c r="C6" s="142">
        <v>18171</v>
      </c>
      <c r="D6" s="143">
        <v>17138</v>
      </c>
    </row>
    <row r="7" spans="1:4" ht="18" customHeight="1">
      <c r="A7" s="16" t="s">
        <v>507</v>
      </c>
      <c r="B7" s="108" t="s">
        <v>887</v>
      </c>
      <c r="C7" s="55">
        <v>329</v>
      </c>
      <c r="D7" s="77">
        <v>125</v>
      </c>
    </row>
    <row r="8" spans="1:4" ht="17">
      <c r="A8" s="16" t="s">
        <v>508</v>
      </c>
      <c r="B8" s="108" t="s">
        <v>888</v>
      </c>
      <c r="C8" s="55">
        <v>55</v>
      </c>
      <c r="D8" s="77">
        <v>45</v>
      </c>
    </row>
    <row r="9" spans="1:4" ht="17">
      <c r="A9" s="16" t="s">
        <v>509</v>
      </c>
      <c r="B9" s="108" t="s">
        <v>889</v>
      </c>
      <c r="C9" s="55">
        <v>151</v>
      </c>
      <c r="D9" s="77">
        <v>121</v>
      </c>
    </row>
    <row r="10" spans="1:4" ht="17">
      <c r="A10" s="16" t="s">
        <v>510</v>
      </c>
      <c r="B10" s="108" t="s">
        <v>890</v>
      </c>
      <c r="C10" s="55">
        <v>-16709</v>
      </c>
      <c r="D10" s="77">
        <v>-15634</v>
      </c>
    </row>
    <row r="11" spans="1:4" ht="17">
      <c r="A11" s="79" t="s">
        <v>511</v>
      </c>
      <c r="B11" s="78" t="s">
        <v>891</v>
      </c>
      <c r="C11" s="135">
        <v>1997</v>
      </c>
      <c r="D11" s="136">
        <v>1795</v>
      </c>
    </row>
    <row r="12" spans="1:4" ht="17">
      <c r="A12" s="16" t="s">
        <v>512</v>
      </c>
      <c r="B12" s="108" t="s">
        <v>892</v>
      </c>
      <c r="C12" s="55">
        <v>-617</v>
      </c>
      <c r="D12" s="77">
        <v>-633</v>
      </c>
    </row>
    <row r="13" spans="1:4" ht="34">
      <c r="A13" s="16" t="s">
        <v>893</v>
      </c>
      <c r="B13" s="108" t="s">
        <v>894</v>
      </c>
      <c r="C13" s="55">
        <v>-233</v>
      </c>
      <c r="D13" s="77">
        <v>-212</v>
      </c>
    </row>
    <row r="14" spans="1:4" ht="17">
      <c r="A14" s="16" t="s">
        <v>514</v>
      </c>
      <c r="B14" s="108" t="s">
        <v>895</v>
      </c>
      <c r="C14" s="55">
        <v>-415</v>
      </c>
      <c r="D14" s="77">
        <v>-431</v>
      </c>
    </row>
    <row r="15" spans="1:4" ht="17">
      <c r="A15" s="79" t="s">
        <v>515</v>
      </c>
      <c r="B15" s="78" t="s">
        <v>891</v>
      </c>
      <c r="C15" s="135">
        <v>731</v>
      </c>
      <c r="D15" s="136">
        <v>519</v>
      </c>
    </row>
    <row r="16" spans="1:4" ht="17">
      <c r="A16" s="16" t="s">
        <v>516</v>
      </c>
      <c r="B16" s="108" t="s">
        <v>896</v>
      </c>
      <c r="C16" s="55">
        <v>2</v>
      </c>
      <c r="D16" s="77">
        <v>21</v>
      </c>
    </row>
    <row r="17" spans="1:4" ht="17">
      <c r="A17" s="16" t="s">
        <v>517</v>
      </c>
      <c r="B17" s="108" t="s">
        <v>897</v>
      </c>
      <c r="C17" s="55">
        <v>19</v>
      </c>
      <c r="D17" s="77">
        <v>19</v>
      </c>
    </row>
    <row r="18" spans="1:4" ht="17">
      <c r="A18" s="16" t="s">
        <v>518</v>
      </c>
      <c r="B18" s="108" t="s">
        <v>897</v>
      </c>
      <c r="C18" s="55">
        <v>-23</v>
      </c>
      <c r="D18" s="77">
        <v>-36</v>
      </c>
    </row>
    <row r="19" spans="1:4" ht="17">
      <c r="A19" s="16" t="s">
        <v>519</v>
      </c>
      <c r="B19" s="108" t="s">
        <v>898</v>
      </c>
      <c r="C19" s="55">
        <v>0</v>
      </c>
      <c r="D19" s="77">
        <v>0</v>
      </c>
    </row>
    <row r="20" spans="1:4" ht="17">
      <c r="A20" s="16" t="s">
        <v>520</v>
      </c>
      <c r="B20" s="108" t="s">
        <v>898</v>
      </c>
      <c r="C20" s="55">
        <v>-2</v>
      </c>
      <c r="D20" s="77">
        <v>0</v>
      </c>
    </row>
    <row r="21" spans="1:4" ht="17">
      <c r="A21" s="79" t="s">
        <v>487</v>
      </c>
      <c r="B21" s="78" t="s">
        <v>891</v>
      </c>
      <c r="C21" s="135">
        <v>727</v>
      </c>
      <c r="D21" s="136">
        <v>523</v>
      </c>
    </row>
    <row r="22" spans="1:4" ht="17">
      <c r="A22" s="16" t="s">
        <v>521</v>
      </c>
      <c r="B22" s="108" t="s">
        <v>899</v>
      </c>
      <c r="C22" s="55">
        <v>-188</v>
      </c>
      <c r="D22" s="77">
        <v>-107</v>
      </c>
    </row>
    <row r="23" spans="1:4" ht="17">
      <c r="A23" s="79" t="s">
        <v>522</v>
      </c>
      <c r="B23" s="78" t="s">
        <v>891</v>
      </c>
      <c r="C23" s="135">
        <v>539</v>
      </c>
      <c r="D23" s="136">
        <v>416</v>
      </c>
    </row>
    <row r="24" spans="1:4" ht="34">
      <c r="A24" s="16" t="s">
        <v>900</v>
      </c>
      <c r="B24" s="108" t="s">
        <v>901</v>
      </c>
      <c r="C24" s="55">
        <v>539</v>
      </c>
      <c r="D24" s="77">
        <v>416</v>
      </c>
    </row>
    <row r="25" spans="1:4" ht="34">
      <c r="A25" s="16" t="s">
        <v>902</v>
      </c>
      <c r="B25" s="108" t="s">
        <v>901</v>
      </c>
      <c r="C25" s="55">
        <v>0</v>
      </c>
      <c r="D25" s="77">
        <v>0</v>
      </c>
    </row>
    <row r="26" spans="1:4" ht="17">
      <c r="A26" s="16" t="s">
        <v>903</v>
      </c>
      <c r="B26" s="108" t="s">
        <v>904</v>
      </c>
      <c r="C26" s="212">
        <v>12.34</v>
      </c>
      <c r="D26" s="213">
        <v>9.5299999999999994</v>
      </c>
    </row>
    <row r="27" spans="1:4" ht="17">
      <c r="A27" s="21" t="s">
        <v>905</v>
      </c>
      <c r="B27" s="110" t="s">
        <v>904</v>
      </c>
      <c r="C27" s="214">
        <v>12.34</v>
      </c>
      <c r="D27" s="215">
        <v>9.5299999999999994</v>
      </c>
    </row>
    <row r="28" spans="1:4" ht="22.5" customHeight="1">
      <c r="A28" s="365"/>
      <c r="B28" s="365"/>
      <c r="C28" s="365"/>
      <c r="D28" s="365"/>
    </row>
  </sheetData>
  <mergeCells count="4">
    <mergeCell ref="A2:D2"/>
    <mergeCell ref="A3:D3"/>
    <mergeCell ref="A28:D28"/>
    <mergeCell ref="A4:D4"/>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4"/>
  <sheetViews>
    <sheetView showRuler="0" workbookViewId="0">
      <selection activeCell="A2" sqref="A2:E2"/>
    </sheetView>
  </sheetViews>
  <sheetFormatPr baseColWidth="10" defaultColWidth="12.83203125" defaultRowHeight="13"/>
  <cols>
    <col min="1" max="1" width="14.1640625" customWidth="1"/>
    <col min="2" max="2" width="58.83203125" customWidth="1"/>
    <col min="3" max="3" width="0" hidden="1" customWidth="1"/>
    <col min="4" max="4" width="18.1640625" customWidth="1"/>
    <col min="5" max="5" width="14.83203125" customWidth="1"/>
  </cols>
  <sheetData>
    <row r="1" spans="1:5" ht="14" customHeight="1">
      <c r="A1" s="336" t="str">
        <f>HYPERLINK("#'Index'!A1","Back to index")</f>
        <v>Back to index</v>
      </c>
      <c r="B1" s="336"/>
      <c r="C1" s="336"/>
      <c r="D1" s="336"/>
      <c r="E1" s="336"/>
    </row>
    <row r="2" spans="1:5" ht="25" customHeight="1">
      <c r="A2" s="310" t="s">
        <v>49</v>
      </c>
      <c r="B2" s="310"/>
      <c r="C2" s="310"/>
      <c r="D2" s="310"/>
      <c r="E2" s="310"/>
    </row>
    <row r="3" spans="1:5" ht="25" customHeight="1">
      <c r="A3" s="335" t="s">
        <v>4</v>
      </c>
      <c r="B3" s="335"/>
      <c r="C3" s="335"/>
      <c r="D3" s="335"/>
      <c r="E3" s="335"/>
    </row>
    <row r="4" spans="1:5">
      <c r="A4" s="323"/>
      <c r="B4" s="323"/>
      <c r="C4" s="323"/>
      <c r="D4" s="323"/>
      <c r="E4" s="323"/>
    </row>
    <row r="5" spans="1:5" ht="34">
      <c r="A5" s="5" t="s">
        <v>204</v>
      </c>
      <c r="B5" s="5" t="s">
        <v>205</v>
      </c>
      <c r="D5" s="29" t="s">
        <v>206</v>
      </c>
      <c r="E5" s="29" t="s">
        <v>241</v>
      </c>
    </row>
    <row r="6" spans="1:5" ht="16">
      <c r="A6" s="333" t="s">
        <v>207</v>
      </c>
      <c r="B6" s="333"/>
      <c r="C6" s="34"/>
      <c r="D6" s="34"/>
      <c r="E6" s="35">
        <v>1</v>
      </c>
    </row>
    <row r="7" spans="1:5" ht="136">
      <c r="A7" s="7" t="s">
        <v>208</v>
      </c>
      <c r="B7" s="7" t="s">
        <v>1099</v>
      </c>
      <c r="C7" s="38"/>
      <c r="D7" s="36" t="s">
        <v>209</v>
      </c>
      <c r="E7" s="37"/>
    </row>
    <row r="8" spans="1:5" ht="68">
      <c r="A8" s="7" t="s">
        <v>57</v>
      </c>
      <c r="B8" s="7" t="s">
        <v>1098</v>
      </c>
      <c r="C8" s="38"/>
      <c r="D8" s="36" t="s">
        <v>209</v>
      </c>
      <c r="E8" s="37"/>
    </row>
    <row r="9" spans="1:5" ht="34">
      <c r="A9" s="7" t="s">
        <v>210</v>
      </c>
      <c r="B9" s="7" t="s">
        <v>1097</v>
      </c>
      <c r="C9" s="38"/>
      <c r="D9" s="36" t="s">
        <v>211</v>
      </c>
      <c r="E9" s="37"/>
    </row>
    <row r="10" spans="1:5" ht="16">
      <c r="A10" s="334" t="s">
        <v>212</v>
      </c>
      <c r="B10" s="334"/>
      <c r="C10" s="38"/>
      <c r="D10" s="38"/>
      <c r="E10" s="39">
        <v>1.5</v>
      </c>
    </row>
    <row r="11" spans="1:5" ht="69" customHeight="1">
      <c r="A11" s="7" t="s">
        <v>208</v>
      </c>
      <c r="B11" s="7" t="s">
        <v>1113</v>
      </c>
      <c r="C11" s="38"/>
      <c r="D11" s="36" t="s">
        <v>209</v>
      </c>
      <c r="E11" s="37"/>
    </row>
    <row r="12" spans="1:5" ht="85">
      <c r="A12" s="7" t="s">
        <v>57</v>
      </c>
      <c r="B12" s="7" t="s">
        <v>1100</v>
      </c>
      <c r="C12" s="43"/>
      <c r="D12" s="36" t="s">
        <v>209</v>
      </c>
      <c r="E12" s="37"/>
    </row>
    <row r="13" spans="1:5" ht="34">
      <c r="A13" s="40" t="s">
        <v>210</v>
      </c>
      <c r="B13" s="40" t="s">
        <v>1101</v>
      </c>
      <c r="C13" s="42"/>
      <c r="D13" s="41" t="s">
        <v>209</v>
      </c>
      <c r="E13" s="42"/>
    </row>
    <row r="14" spans="1:5">
      <c r="A14" s="44"/>
      <c r="B14" s="44"/>
      <c r="C14" s="44"/>
      <c r="D14" s="44"/>
      <c r="E14" s="44"/>
    </row>
  </sheetData>
  <mergeCells count="6">
    <mergeCell ref="A6:B6"/>
    <mergeCell ref="A10:B10"/>
    <mergeCell ref="A3:E3"/>
    <mergeCell ref="A1:E1"/>
    <mergeCell ref="A4:E4"/>
    <mergeCell ref="A2:E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C21"/>
  <sheetViews>
    <sheetView showRuler="0" workbookViewId="0">
      <selection activeCell="A2" sqref="A2:C2"/>
    </sheetView>
  </sheetViews>
  <sheetFormatPr baseColWidth="10" defaultColWidth="12.83203125" defaultRowHeight="13"/>
  <cols>
    <col min="1" max="1" width="80.33203125" customWidth="1"/>
    <col min="2" max="3" width="16.83203125" customWidth="1"/>
  </cols>
  <sheetData>
    <row r="1" spans="1:3" ht="14">
      <c r="A1" s="238" t="str">
        <f>HYPERLINK("#'Index'!A1","Back to index")</f>
        <v>Back to index</v>
      </c>
    </row>
    <row r="2" spans="1:3" ht="25" customHeight="1">
      <c r="A2" s="310" t="s">
        <v>49</v>
      </c>
      <c r="B2" s="311"/>
      <c r="C2" s="311"/>
    </row>
    <row r="3" spans="1:3" ht="39.25" customHeight="1">
      <c r="A3" s="312" t="s">
        <v>44</v>
      </c>
      <c r="B3" s="311"/>
      <c r="C3" s="311"/>
    </row>
    <row r="4" spans="1:3">
      <c r="A4" s="323"/>
      <c r="B4" s="323"/>
      <c r="C4" s="323"/>
    </row>
    <row r="5" spans="1:3" ht="33.25" customHeight="1">
      <c r="A5" s="5" t="s">
        <v>332</v>
      </c>
      <c r="B5" s="29" t="s">
        <v>501</v>
      </c>
      <c r="C5" s="28" t="s">
        <v>502</v>
      </c>
    </row>
    <row r="6" spans="1:3" ht="17">
      <c r="A6" s="33" t="s">
        <v>522</v>
      </c>
      <c r="B6" s="142">
        <v>539</v>
      </c>
      <c r="C6" s="143">
        <v>416</v>
      </c>
    </row>
    <row r="7" spans="1:3" ht="17">
      <c r="A7" s="79" t="s">
        <v>906</v>
      </c>
      <c r="B7" s="216"/>
      <c r="C7" s="107"/>
    </row>
    <row r="8" spans="1:3" ht="17">
      <c r="A8" s="80" t="s">
        <v>907</v>
      </c>
      <c r="B8" s="55">
        <v>3</v>
      </c>
      <c r="C8" s="77">
        <v>8</v>
      </c>
    </row>
    <row r="9" spans="1:3" ht="17">
      <c r="A9" s="80" t="s">
        <v>908</v>
      </c>
      <c r="B9" s="55">
        <v>0</v>
      </c>
      <c r="C9" s="77">
        <v>0</v>
      </c>
    </row>
    <row r="10" spans="1:3" ht="17">
      <c r="A10" s="80" t="s">
        <v>909</v>
      </c>
      <c r="B10" s="55">
        <v>-24</v>
      </c>
      <c r="C10" s="77">
        <v>-26</v>
      </c>
    </row>
    <row r="11" spans="1:3" ht="17">
      <c r="A11" s="80" t="s">
        <v>521</v>
      </c>
      <c r="B11" s="55">
        <v>1</v>
      </c>
      <c r="C11" s="77">
        <v>-1</v>
      </c>
    </row>
    <row r="12" spans="1:3" ht="33" customHeight="1">
      <c r="A12" s="80" t="s">
        <v>910</v>
      </c>
      <c r="B12" s="55">
        <v>0</v>
      </c>
      <c r="C12" s="77">
        <v>-1</v>
      </c>
    </row>
    <row r="13" spans="1:3" ht="17">
      <c r="A13" s="79" t="s">
        <v>911</v>
      </c>
      <c r="B13" s="216"/>
      <c r="C13" s="107"/>
    </row>
    <row r="14" spans="1:3" ht="17">
      <c r="A14" s="80" t="s">
        <v>912</v>
      </c>
      <c r="B14" s="55">
        <v>7</v>
      </c>
      <c r="C14" s="77">
        <v>-34</v>
      </c>
    </row>
    <row r="15" spans="1:3" ht="17">
      <c r="A15" s="80" t="s">
        <v>521</v>
      </c>
      <c r="B15" s="55">
        <v>-1</v>
      </c>
      <c r="C15" s="77">
        <v>10</v>
      </c>
    </row>
    <row r="16" spans="1:3" ht="32" customHeight="1">
      <c r="A16" s="80" t="s">
        <v>913</v>
      </c>
      <c r="B16" s="55">
        <v>0</v>
      </c>
      <c r="C16" s="77">
        <v>0</v>
      </c>
    </row>
    <row r="17" spans="1:3" ht="17">
      <c r="A17" s="79" t="s">
        <v>914</v>
      </c>
      <c r="B17" s="135">
        <v>-15</v>
      </c>
      <c r="C17" s="136">
        <v>-44</v>
      </c>
    </row>
    <row r="18" spans="1:3" ht="17">
      <c r="A18" s="79" t="s">
        <v>915</v>
      </c>
      <c r="B18" s="135">
        <v>524</v>
      </c>
      <c r="C18" s="136">
        <v>372</v>
      </c>
    </row>
    <row r="19" spans="1:3" ht="17">
      <c r="A19" s="16" t="s">
        <v>916</v>
      </c>
      <c r="B19" s="55">
        <v>524</v>
      </c>
      <c r="C19" s="77">
        <v>372</v>
      </c>
    </row>
    <row r="20" spans="1:3" ht="17">
      <c r="A20" s="21" t="s">
        <v>917</v>
      </c>
      <c r="B20" s="58">
        <v>0</v>
      </c>
      <c r="C20" s="152">
        <v>0</v>
      </c>
    </row>
    <row r="21" spans="1:3" ht="16">
      <c r="A21" s="365"/>
      <c r="B21" s="365"/>
      <c r="C21" s="365"/>
    </row>
  </sheetData>
  <mergeCells count="4">
    <mergeCell ref="A2:C2"/>
    <mergeCell ref="A3:C3"/>
    <mergeCell ref="A21:C21"/>
    <mergeCell ref="A4:C4"/>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E22"/>
  <sheetViews>
    <sheetView showRuler="0" workbookViewId="0">
      <selection activeCell="A2" sqref="A2:D2"/>
    </sheetView>
  </sheetViews>
  <sheetFormatPr baseColWidth="10" defaultColWidth="12.83203125" defaultRowHeight="13"/>
  <cols>
    <col min="1" max="1" width="68.33203125" customWidth="1"/>
    <col min="2" max="4" width="16.83203125" customWidth="1"/>
  </cols>
  <sheetData>
    <row r="1" spans="1:5" ht="14">
      <c r="A1" s="238" t="str">
        <f>HYPERLINK("#'Index'!A1","Back to index")</f>
        <v>Back to index</v>
      </c>
    </row>
    <row r="2" spans="1:5" ht="26" customHeight="1">
      <c r="A2" s="310" t="s">
        <v>49</v>
      </c>
      <c r="B2" s="311"/>
      <c r="C2" s="311"/>
      <c r="D2" s="311"/>
    </row>
    <row r="3" spans="1:5" ht="22.5" customHeight="1">
      <c r="A3" s="312" t="s">
        <v>918</v>
      </c>
      <c r="B3" s="311"/>
      <c r="C3" s="311"/>
      <c r="D3" s="311"/>
      <c r="E3" s="27"/>
    </row>
    <row r="4" spans="1:5">
      <c r="A4" s="323"/>
      <c r="B4" s="323"/>
      <c r="C4" s="323"/>
      <c r="D4" s="323"/>
    </row>
    <row r="5" spans="1:5" ht="22.5" customHeight="1">
      <c r="A5" s="5" t="s">
        <v>332</v>
      </c>
      <c r="B5" s="28" t="s">
        <v>919</v>
      </c>
      <c r="C5" s="29" t="s">
        <v>478</v>
      </c>
      <c r="D5" s="28" t="s">
        <v>479</v>
      </c>
    </row>
    <row r="6" spans="1:5" ht="17">
      <c r="A6" s="14" t="s">
        <v>920</v>
      </c>
      <c r="B6" s="129" t="s">
        <v>921</v>
      </c>
      <c r="C6" s="53">
        <v>129</v>
      </c>
      <c r="D6" s="75">
        <v>139</v>
      </c>
    </row>
    <row r="7" spans="1:5" ht="17">
      <c r="A7" s="16" t="s">
        <v>922</v>
      </c>
      <c r="B7" s="108" t="s">
        <v>923</v>
      </c>
      <c r="C7" s="55">
        <v>3290</v>
      </c>
      <c r="D7" s="77">
        <v>2789</v>
      </c>
    </row>
    <row r="8" spans="1:5" ht="17">
      <c r="A8" s="16" t="s">
        <v>924</v>
      </c>
      <c r="B8" s="108" t="s">
        <v>925</v>
      </c>
      <c r="C8" s="55">
        <v>9</v>
      </c>
      <c r="D8" s="77">
        <v>11</v>
      </c>
    </row>
    <row r="9" spans="1:5" ht="17">
      <c r="A9" s="16" t="s">
        <v>926</v>
      </c>
      <c r="B9" s="108" t="s">
        <v>927</v>
      </c>
      <c r="C9" s="55">
        <v>99</v>
      </c>
      <c r="D9" s="77">
        <v>112</v>
      </c>
    </row>
    <row r="10" spans="1:5" ht="17">
      <c r="A10" s="16" t="s">
        <v>928</v>
      </c>
      <c r="B10" s="108" t="s">
        <v>929</v>
      </c>
      <c r="C10" s="55">
        <v>29</v>
      </c>
      <c r="D10" s="77">
        <v>18</v>
      </c>
    </row>
    <row r="11" spans="1:5" ht="17">
      <c r="A11" s="16" t="s">
        <v>930</v>
      </c>
      <c r="B11" s="108" t="s">
        <v>931</v>
      </c>
      <c r="C11" s="55">
        <v>39</v>
      </c>
      <c r="D11" s="77">
        <v>37</v>
      </c>
    </row>
    <row r="12" spans="1:5" ht="17">
      <c r="A12" s="79" t="s">
        <v>932</v>
      </c>
      <c r="B12" s="107" t="s">
        <v>933</v>
      </c>
      <c r="C12" s="135">
        <v>3596</v>
      </c>
      <c r="D12" s="136">
        <v>3106</v>
      </c>
    </row>
    <row r="13" spans="1:5" ht="17">
      <c r="A13" s="16" t="s">
        <v>481</v>
      </c>
      <c r="B13" s="108" t="s">
        <v>934</v>
      </c>
      <c r="C13" s="55">
        <v>4012</v>
      </c>
      <c r="D13" s="77">
        <v>3546</v>
      </c>
    </row>
    <row r="14" spans="1:5" ht="17">
      <c r="A14" s="16" t="s">
        <v>935</v>
      </c>
      <c r="B14" s="108" t="s">
        <v>936</v>
      </c>
      <c r="C14" s="55">
        <v>618</v>
      </c>
      <c r="D14" s="77">
        <v>628</v>
      </c>
    </row>
    <row r="15" spans="1:5" ht="17">
      <c r="A15" s="16" t="s">
        <v>937</v>
      </c>
      <c r="B15" s="108" t="s">
        <v>931</v>
      </c>
      <c r="C15" s="55">
        <v>149</v>
      </c>
      <c r="D15" s="77">
        <v>133</v>
      </c>
    </row>
    <row r="16" spans="1:5" ht="17">
      <c r="A16" s="16" t="s">
        <v>938</v>
      </c>
      <c r="B16" s="108" t="s">
        <v>931</v>
      </c>
      <c r="C16" s="55">
        <v>143</v>
      </c>
      <c r="D16" s="77">
        <v>111</v>
      </c>
    </row>
    <row r="17" spans="1:4" ht="17">
      <c r="A17" s="16" t="s">
        <v>539</v>
      </c>
      <c r="B17" s="108" t="s">
        <v>939</v>
      </c>
      <c r="C17" s="55">
        <v>319</v>
      </c>
      <c r="D17" s="77">
        <v>322</v>
      </c>
    </row>
    <row r="18" spans="1:4" ht="17">
      <c r="A18" s="79" t="s">
        <v>940</v>
      </c>
      <c r="B18" s="107" t="s">
        <v>933</v>
      </c>
      <c r="C18" s="135">
        <v>5242</v>
      </c>
      <c r="D18" s="136">
        <v>4740</v>
      </c>
    </row>
    <row r="19" spans="1:4" ht="17">
      <c r="A19" s="124" t="s">
        <v>941</v>
      </c>
      <c r="B19" s="51" t="s">
        <v>891</v>
      </c>
      <c r="C19" s="144">
        <v>8838</v>
      </c>
      <c r="D19" s="82">
        <v>7846</v>
      </c>
    </row>
    <row r="20" spans="1:4" ht="16">
      <c r="A20" s="365"/>
      <c r="B20" s="365"/>
      <c r="C20" s="365"/>
      <c r="D20" s="365"/>
    </row>
    <row r="21" spans="1:4">
      <c r="A21" s="1"/>
      <c r="B21" s="1"/>
      <c r="C21" s="1"/>
      <c r="D21" s="1"/>
    </row>
    <row r="22" spans="1:4">
      <c r="A22" s="1"/>
      <c r="B22" s="1"/>
      <c r="C22" s="1"/>
      <c r="D22" s="1"/>
    </row>
  </sheetData>
  <mergeCells count="4">
    <mergeCell ref="A2:D2"/>
    <mergeCell ref="A3:D3"/>
    <mergeCell ref="A20:D20"/>
    <mergeCell ref="A4:D4"/>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E46"/>
  <sheetViews>
    <sheetView showRuler="0" workbookViewId="0">
      <selection activeCell="A2" sqref="A2:D2"/>
    </sheetView>
  </sheetViews>
  <sheetFormatPr baseColWidth="10" defaultColWidth="12.83203125" defaultRowHeight="13"/>
  <cols>
    <col min="1" max="1" width="64.6640625" customWidth="1"/>
    <col min="2" max="2" width="16.83203125" customWidth="1"/>
    <col min="3" max="3" width="22.33203125" customWidth="1"/>
    <col min="4" max="4" width="21.33203125" customWidth="1"/>
  </cols>
  <sheetData>
    <row r="1" spans="1:5" ht="15.75" customHeight="1">
      <c r="A1" s="238" t="str">
        <f>HYPERLINK("#'Index'!A1","Back to index")</f>
        <v>Back to index</v>
      </c>
    </row>
    <row r="2" spans="1:5" ht="26" customHeight="1">
      <c r="A2" s="310" t="s">
        <v>49</v>
      </c>
      <c r="B2" s="311"/>
      <c r="C2" s="311"/>
      <c r="D2" s="311"/>
    </row>
    <row r="3" spans="1:5" ht="22.5" customHeight="1">
      <c r="A3" s="312" t="s">
        <v>942</v>
      </c>
      <c r="B3" s="311"/>
      <c r="C3" s="311"/>
      <c r="D3" s="311"/>
      <c r="E3" s="27"/>
    </row>
    <row r="4" spans="1:5" ht="13" customHeight="1">
      <c r="A4" s="323"/>
      <c r="B4" s="323"/>
      <c r="C4" s="323"/>
      <c r="D4" s="323"/>
    </row>
    <row r="5" spans="1:5" ht="15" customHeight="1">
      <c r="A5" s="5" t="s">
        <v>332</v>
      </c>
      <c r="B5" s="28" t="s">
        <v>919</v>
      </c>
      <c r="C5" s="29" t="s">
        <v>478</v>
      </c>
      <c r="D5" s="28" t="s">
        <v>479</v>
      </c>
    </row>
    <row r="6" spans="1:5" ht="15" customHeight="1">
      <c r="A6" s="217" t="s">
        <v>943</v>
      </c>
      <c r="B6" s="129" t="s">
        <v>944</v>
      </c>
      <c r="C6" s="53">
        <v>115</v>
      </c>
      <c r="D6" s="75">
        <v>115</v>
      </c>
    </row>
    <row r="7" spans="1:5" ht="15" customHeight="1">
      <c r="A7" s="80" t="s">
        <v>945</v>
      </c>
      <c r="B7" s="108" t="s">
        <v>944</v>
      </c>
      <c r="C7" s="55">
        <v>343</v>
      </c>
      <c r="D7" s="77">
        <v>343</v>
      </c>
    </row>
    <row r="8" spans="1:5" ht="15" customHeight="1">
      <c r="A8" s="80" t="s">
        <v>946</v>
      </c>
      <c r="B8" s="78" t="s">
        <v>891</v>
      </c>
      <c r="C8" s="55">
        <v>-60</v>
      </c>
      <c r="D8" s="77">
        <v>-60</v>
      </c>
    </row>
    <row r="9" spans="1:5" ht="15" customHeight="1">
      <c r="A9" s="80" t="s">
        <v>947</v>
      </c>
      <c r="B9" s="108" t="s">
        <v>944</v>
      </c>
      <c r="C9" s="55">
        <v>4633</v>
      </c>
      <c r="D9" s="77">
        <v>4154</v>
      </c>
    </row>
    <row r="10" spans="1:5" ht="15" customHeight="1">
      <c r="A10" s="80" t="s">
        <v>948</v>
      </c>
      <c r="B10" s="108" t="s">
        <v>944</v>
      </c>
      <c r="C10" s="55">
        <v>-18</v>
      </c>
      <c r="D10" s="77">
        <v>3</v>
      </c>
    </row>
    <row r="11" spans="1:5" ht="15" customHeight="1">
      <c r="A11" s="16" t="s">
        <v>949</v>
      </c>
      <c r="B11" s="78" t="s">
        <v>891</v>
      </c>
      <c r="C11" s="55">
        <v>5013</v>
      </c>
      <c r="D11" s="77">
        <v>4555</v>
      </c>
    </row>
    <row r="12" spans="1:5" ht="15" customHeight="1">
      <c r="A12" s="16" t="s">
        <v>950</v>
      </c>
      <c r="B12" s="108" t="s">
        <v>944</v>
      </c>
      <c r="C12" s="55">
        <v>1</v>
      </c>
      <c r="D12" s="77">
        <v>1</v>
      </c>
    </row>
    <row r="13" spans="1:5" ht="15" customHeight="1">
      <c r="A13" s="79" t="s">
        <v>541</v>
      </c>
      <c r="B13" s="107" t="s">
        <v>933</v>
      </c>
      <c r="C13" s="135">
        <v>5015</v>
      </c>
      <c r="D13" s="136">
        <v>4556</v>
      </c>
    </row>
    <row r="14" spans="1:5" ht="15" customHeight="1">
      <c r="A14" s="16" t="s">
        <v>951</v>
      </c>
      <c r="B14" s="108" t="s">
        <v>952</v>
      </c>
      <c r="C14" s="55">
        <v>131</v>
      </c>
      <c r="D14" s="77">
        <v>137</v>
      </c>
    </row>
    <row r="15" spans="1:5" ht="15" customHeight="1">
      <c r="A15" s="16" t="s">
        <v>953</v>
      </c>
      <c r="B15" s="108" t="s">
        <v>954</v>
      </c>
      <c r="C15" s="55">
        <v>52</v>
      </c>
      <c r="D15" s="77">
        <v>53</v>
      </c>
    </row>
    <row r="16" spans="1:5" ht="15" customHeight="1">
      <c r="A16" s="16" t="s">
        <v>955</v>
      </c>
      <c r="B16" s="108" t="s">
        <v>929</v>
      </c>
      <c r="C16" s="55">
        <v>681</v>
      </c>
      <c r="D16" s="77">
        <v>571</v>
      </c>
    </row>
    <row r="17" spans="1:4" ht="15" customHeight="1">
      <c r="A17" s="16" t="s">
        <v>956</v>
      </c>
      <c r="B17" s="108" t="s">
        <v>957</v>
      </c>
      <c r="C17" s="55">
        <v>483</v>
      </c>
      <c r="D17" s="77">
        <v>235</v>
      </c>
    </row>
    <row r="18" spans="1:4" ht="15" customHeight="1">
      <c r="A18" s="16" t="s">
        <v>958</v>
      </c>
      <c r="B18" s="108" t="s">
        <v>957</v>
      </c>
      <c r="C18" s="55">
        <v>90</v>
      </c>
      <c r="D18" s="77">
        <v>84</v>
      </c>
    </row>
    <row r="19" spans="1:4" ht="15" customHeight="1">
      <c r="A19" s="16" t="s">
        <v>959</v>
      </c>
      <c r="B19" s="108" t="s">
        <v>957</v>
      </c>
      <c r="C19" s="55">
        <v>14</v>
      </c>
      <c r="D19" s="77">
        <v>3</v>
      </c>
    </row>
    <row r="20" spans="1:4" ht="15" customHeight="1">
      <c r="A20" s="79" t="s">
        <v>960</v>
      </c>
      <c r="B20" s="107" t="s">
        <v>933</v>
      </c>
      <c r="C20" s="135">
        <v>1451</v>
      </c>
      <c r="D20" s="136">
        <v>1083</v>
      </c>
    </row>
    <row r="21" spans="1:4" ht="15" customHeight="1">
      <c r="A21" s="16" t="s">
        <v>961</v>
      </c>
      <c r="B21" s="108" t="s">
        <v>954</v>
      </c>
      <c r="C21" s="55">
        <v>72</v>
      </c>
      <c r="D21" s="77">
        <v>73</v>
      </c>
    </row>
    <row r="22" spans="1:4" ht="15" customHeight="1">
      <c r="A22" s="16" t="s">
        <v>962</v>
      </c>
      <c r="B22" s="108" t="s">
        <v>957</v>
      </c>
      <c r="C22" s="55">
        <v>1790</v>
      </c>
      <c r="D22" s="77">
        <v>1584</v>
      </c>
    </row>
    <row r="23" spans="1:4" ht="15" customHeight="1">
      <c r="A23" s="16" t="s">
        <v>963</v>
      </c>
      <c r="B23" s="108" t="s">
        <v>957</v>
      </c>
      <c r="C23" s="55">
        <v>22</v>
      </c>
      <c r="D23" s="77">
        <v>28</v>
      </c>
    </row>
    <row r="24" spans="1:4" ht="15" customHeight="1">
      <c r="A24" s="16" t="s">
        <v>964</v>
      </c>
      <c r="B24" s="108" t="s">
        <v>957</v>
      </c>
      <c r="C24" s="55">
        <v>58</v>
      </c>
      <c r="D24" s="77">
        <v>148</v>
      </c>
    </row>
    <row r="25" spans="1:4" ht="15" customHeight="1">
      <c r="A25" s="16" t="s">
        <v>965</v>
      </c>
      <c r="B25" s="108" t="s">
        <v>957</v>
      </c>
      <c r="C25" s="55">
        <v>333</v>
      </c>
      <c r="D25" s="77">
        <v>284</v>
      </c>
    </row>
    <row r="26" spans="1:4" ht="15" customHeight="1">
      <c r="A26" s="16" t="s">
        <v>966</v>
      </c>
      <c r="B26" s="108" t="s">
        <v>957</v>
      </c>
      <c r="C26" s="55">
        <v>97</v>
      </c>
      <c r="D26" s="77">
        <v>91</v>
      </c>
    </row>
    <row r="27" spans="1:4" ht="15" customHeight="1">
      <c r="A27" s="79" t="s">
        <v>559</v>
      </c>
      <c r="B27" s="107" t="s">
        <v>933</v>
      </c>
      <c r="C27" s="135">
        <v>2372</v>
      </c>
      <c r="D27" s="136">
        <v>2208</v>
      </c>
    </row>
    <row r="28" spans="1:4" ht="15" customHeight="1">
      <c r="A28" s="124" t="s">
        <v>967</v>
      </c>
      <c r="B28" s="51" t="s">
        <v>891</v>
      </c>
      <c r="C28" s="144">
        <v>8838</v>
      </c>
      <c r="D28" s="82">
        <v>7846</v>
      </c>
    </row>
    <row r="29" spans="1:4" ht="15" customHeight="1">
      <c r="A29" s="365"/>
      <c r="B29" s="365"/>
      <c r="C29" s="365"/>
      <c r="D29" s="365"/>
    </row>
    <row r="30" spans="1:4" ht="15" customHeight="1"/>
    <row r="31" spans="1:4" ht="15" customHeight="1"/>
    <row r="32" spans="1:4"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sheetData>
  <mergeCells count="4">
    <mergeCell ref="A2:D2"/>
    <mergeCell ref="A3:D3"/>
    <mergeCell ref="A29:D29"/>
    <mergeCell ref="A4:D4"/>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C40"/>
  <sheetViews>
    <sheetView showRuler="0" workbookViewId="0">
      <selection activeCell="A2" sqref="A2:C2"/>
    </sheetView>
  </sheetViews>
  <sheetFormatPr baseColWidth="10" defaultColWidth="12.83203125" defaultRowHeight="13"/>
  <cols>
    <col min="1" max="1" width="110.6640625" customWidth="1"/>
    <col min="2" max="3" width="16.83203125" customWidth="1"/>
  </cols>
  <sheetData>
    <row r="1" spans="1:3" ht="14">
      <c r="A1" s="238" t="str">
        <f>HYPERLINK("#'Index'!A1","Back to index")</f>
        <v>Back to index</v>
      </c>
    </row>
    <row r="2" spans="1:3" ht="25" customHeight="1">
      <c r="A2" s="310" t="s">
        <v>49</v>
      </c>
      <c r="B2" s="311"/>
      <c r="C2" s="311"/>
    </row>
    <row r="3" spans="1:3" ht="39.25" customHeight="1">
      <c r="A3" s="312" t="s">
        <v>45</v>
      </c>
      <c r="B3" s="311"/>
      <c r="C3" s="311"/>
    </row>
    <row r="4" spans="1:3">
      <c r="A4" s="323"/>
      <c r="B4" s="323"/>
      <c r="C4" s="323"/>
    </row>
    <row r="5" spans="1:3" ht="17">
      <c r="A5" s="5" t="s">
        <v>332</v>
      </c>
      <c r="B5" s="29" t="s">
        <v>501</v>
      </c>
      <c r="C5" s="28" t="s">
        <v>502</v>
      </c>
    </row>
    <row r="6" spans="1:3" ht="17">
      <c r="A6" s="33" t="s">
        <v>968</v>
      </c>
      <c r="B6" s="142">
        <v>727</v>
      </c>
      <c r="C6" s="143">
        <v>523</v>
      </c>
    </row>
    <row r="7" spans="1:3" ht="17">
      <c r="A7" s="16" t="s">
        <v>969</v>
      </c>
      <c r="B7" s="55">
        <v>233</v>
      </c>
      <c r="C7" s="77">
        <v>212</v>
      </c>
    </row>
    <row r="8" spans="1:3" ht="17">
      <c r="A8" s="16" t="s">
        <v>970</v>
      </c>
      <c r="B8" s="55">
        <v>4</v>
      </c>
      <c r="C8" s="77">
        <v>16</v>
      </c>
    </row>
    <row r="9" spans="1:3" ht="17">
      <c r="A9" s="16" t="s">
        <v>971</v>
      </c>
      <c r="B9" s="55">
        <v>-5</v>
      </c>
      <c r="C9" s="77">
        <v>-8</v>
      </c>
    </row>
    <row r="10" spans="1:3" ht="17">
      <c r="A10" s="16" t="s">
        <v>972</v>
      </c>
      <c r="B10" s="55">
        <v>2</v>
      </c>
      <c r="C10" s="77">
        <v>-17</v>
      </c>
    </row>
    <row r="11" spans="1:3" ht="17">
      <c r="A11" s="16" t="s">
        <v>973</v>
      </c>
      <c r="B11" s="55">
        <v>-8</v>
      </c>
      <c r="C11" s="77">
        <v>0</v>
      </c>
    </row>
    <row r="12" spans="1:3" ht="17">
      <c r="A12" s="16" t="s">
        <v>974</v>
      </c>
      <c r="B12" s="55">
        <v>4</v>
      </c>
      <c r="C12" s="77">
        <v>5</v>
      </c>
    </row>
    <row r="13" spans="1:3" ht="17">
      <c r="A13" s="16" t="s">
        <v>975</v>
      </c>
      <c r="B13" s="55">
        <v>4</v>
      </c>
      <c r="C13" s="77">
        <v>-4</v>
      </c>
    </row>
    <row r="14" spans="1:3" ht="17">
      <c r="A14" s="16" t="s">
        <v>976</v>
      </c>
      <c r="B14" s="55">
        <v>19</v>
      </c>
      <c r="C14" s="77">
        <v>19</v>
      </c>
    </row>
    <row r="15" spans="1:3" ht="17">
      <c r="A15" s="16" t="s">
        <v>977</v>
      </c>
      <c r="B15" s="55">
        <v>-92</v>
      </c>
      <c r="C15" s="77">
        <v>-70</v>
      </c>
    </row>
    <row r="16" spans="1:3" ht="17">
      <c r="A16" s="79" t="s">
        <v>978</v>
      </c>
      <c r="B16" s="135">
        <v>889</v>
      </c>
      <c r="C16" s="136">
        <v>677</v>
      </c>
    </row>
    <row r="17" spans="1:3" ht="17">
      <c r="A17" s="16" t="s">
        <v>979</v>
      </c>
      <c r="B17" s="55">
        <v>-17</v>
      </c>
      <c r="C17" s="77">
        <v>-46</v>
      </c>
    </row>
    <row r="18" spans="1:3" ht="17">
      <c r="A18" s="16" t="s">
        <v>980</v>
      </c>
      <c r="B18" s="55">
        <v>-467</v>
      </c>
      <c r="C18" s="77">
        <v>-238</v>
      </c>
    </row>
    <row r="19" spans="1:3" ht="17">
      <c r="A19" s="16" t="s">
        <v>981</v>
      </c>
      <c r="B19" s="55">
        <v>11</v>
      </c>
      <c r="C19" s="77">
        <v>11</v>
      </c>
    </row>
    <row r="20" spans="1:3" ht="17">
      <c r="A20" s="16" t="s">
        <v>982</v>
      </c>
      <c r="B20" s="55">
        <v>260</v>
      </c>
      <c r="C20" s="77">
        <v>133</v>
      </c>
    </row>
    <row r="21" spans="1:3" ht="17">
      <c r="A21" s="79" t="s">
        <v>983</v>
      </c>
      <c r="B21" s="135">
        <v>677</v>
      </c>
      <c r="C21" s="136">
        <v>537</v>
      </c>
    </row>
    <row r="22" spans="1:3" ht="17">
      <c r="A22" s="16" t="s">
        <v>984</v>
      </c>
      <c r="B22" s="55">
        <v>-758</v>
      </c>
      <c r="C22" s="77">
        <v>-847</v>
      </c>
    </row>
    <row r="23" spans="1:3" ht="17">
      <c r="A23" s="16" t="s">
        <v>985</v>
      </c>
      <c r="B23" s="55">
        <v>-2</v>
      </c>
      <c r="C23" s="77">
        <v>0</v>
      </c>
    </row>
    <row r="24" spans="1:3" ht="17">
      <c r="A24" s="16" t="s">
        <v>986</v>
      </c>
      <c r="B24" s="55">
        <v>1</v>
      </c>
      <c r="C24" s="77">
        <v>2</v>
      </c>
    </row>
    <row r="25" spans="1:3" ht="17">
      <c r="A25" s="16" t="s">
        <v>987</v>
      </c>
      <c r="B25" s="55">
        <v>0</v>
      </c>
      <c r="C25" s="77">
        <v>0</v>
      </c>
    </row>
    <row r="26" spans="1:3" ht="17" customHeight="1">
      <c r="A26" s="16" t="s">
        <v>988</v>
      </c>
      <c r="B26" s="55">
        <v>0</v>
      </c>
      <c r="C26" s="77">
        <v>97</v>
      </c>
    </row>
    <row r="27" spans="1:3" ht="34">
      <c r="A27" s="16" t="s">
        <v>989</v>
      </c>
      <c r="B27" s="55">
        <v>-11</v>
      </c>
      <c r="C27" s="77">
        <v>0</v>
      </c>
    </row>
    <row r="28" spans="1:3" ht="17">
      <c r="A28" s="16" t="s">
        <v>990</v>
      </c>
      <c r="B28" s="55">
        <v>1</v>
      </c>
      <c r="C28" s="77">
        <v>3</v>
      </c>
    </row>
    <row r="29" spans="1:3" ht="17">
      <c r="A29" s="16" t="s">
        <v>991</v>
      </c>
      <c r="B29" s="55">
        <v>15</v>
      </c>
      <c r="C29" s="77">
        <v>19</v>
      </c>
    </row>
    <row r="30" spans="1:3" ht="17">
      <c r="A30" s="79" t="s">
        <v>992</v>
      </c>
      <c r="B30" s="135">
        <v>-754</v>
      </c>
      <c r="C30" s="136">
        <v>-726</v>
      </c>
    </row>
    <row r="31" spans="1:3" ht="17">
      <c r="A31" s="16" t="s">
        <v>993</v>
      </c>
      <c r="B31" s="55">
        <v>330</v>
      </c>
      <c r="C31" s="77">
        <v>194</v>
      </c>
    </row>
    <row r="32" spans="1:3" ht="17">
      <c r="A32" s="16" t="s">
        <v>994</v>
      </c>
      <c r="B32" s="55">
        <v>-174</v>
      </c>
      <c r="C32" s="77">
        <v>-85</v>
      </c>
    </row>
    <row r="33" spans="1:3" ht="17">
      <c r="A33" s="16" t="s">
        <v>995</v>
      </c>
      <c r="B33" s="55">
        <v>-17</v>
      </c>
      <c r="C33" s="77">
        <v>-30</v>
      </c>
    </row>
    <row r="34" spans="1:3" ht="17">
      <c r="A34" s="16" t="s">
        <v>996</v>
      </c>
      <c r="B34" s="55">
        <v>-66</v>
      </c>
      <c r="C34" s="77">
        <v>-61</v>
      </c>
    </row>
    <row r="35" spans="1:3" ht="17">
      <c r="A35" s="79" t="s">
        <v>997</v>
      </c>
      <c r="B35" s="135">
        <v>74</v>
      </c>
      <c r="C35" s="136">
        <v>17</v>
      </c>
    </row>
    <row r="36" spans="1:3" ht="17">
      <c r="A36" s="16" t="s">
        <v>998</v>
      </c>
      <c r="B36" s="55">
        <v>-4</v>
      </c>
      <c r="C36" s="77">
        <v>-171</v>
      </c>
    </row>
    <row r="37" spans="1:3" ht="17">
      <c r="A37" s="16" t="s">
        <v>999</v>
      </c>
      <c r="B37" s="55">
        <v>1</v>
      </c>
      <c r="C37" s="77">
        <v>0</v>
      </c>
    </row>
    <row r="38" spans="1:3" ht="17">
      <c r="A38" s="16" t="s">
        <v>1000</v>
      </c>
      <c r="B38" s="55">
        <v>322</v>
      </c>
      <c r="C38" s="77">
        <v>494</v>
      </c>
    </row>
    <row r="39" spans="1:3" ht="17">
      <c r="A39" s="124" t="s">
        <v>1001</v>
      </c>
      <c r="B39" s="144">
        <v>319</v>
      </c>
      <c r="C39" s="82">
        <v>322</v>
      </c>
    </row>
    <row r="40" spans="1:3" ht="16">
      <c r="A40" s="365"/>
      <c r="B40" s="365"/>
      <c r="C40" s="365"/>
    </row>
  </sheetData>
  <mergeCells count="4">
    <mergeCell ref="A2:C2"/>
    <mergeCell ref="A3:C3"/>
    <mergeCell ref="A40:C40"/>
    <mergeCell ref="A4:C4"/>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N20"/>
  <sheetViews>
    <sheetView showRuler="0" workbookViewId="0">
      <selection activeCell="A2" sqref="A2:M2"/>
    </sheetView>
  </sheetViews>
  <sheetFormatPr baseColWidth="10" defaultColWidth="12.83203125" defaultRowHeight="13"/>
  <cols>
    <col min="1" max="1" width="33.83203125" customWidth="1"/>
    <col min="2" max="13" width="16.83203125" customWidth="1"/>
  </cols>
  <sheetData>
    <row r="1" spans="1:14" ht="12" customHeight="1">
      <c r="A1" s="238" t="str">
        <f>HYPERLINK("#'Index'!A1","Back to index")</f>
        <v>Back to index</v>
      </c>
    </row>
    <row r="2" spans="1:14" ht="25" customHeight="1">
      <c r="A2" s="310" t="s">
        <v>49</v>
      </c>
      <c r="B2" s="311"/>
      <c r="C2" s="311"/>
      <c r="D2" s="311"/>
      <c r="E2" s="311"/>
      <c r="F2" s="311"/>
      <c r="G2" s="311"/>
      <c r="H2" s="311"/>
      <c r="I2" s="311"/>
      <c r="J2" s="311"/>
      <c r="K2" s="311"/>
      <c r="L2" s="311"/>
      <c r="M2" s="311"/>
    </row>
    <row r="3" spans="1:14" ht="22.5" customHeight="1">
      <c r="A3" s="312" t="s">
        <v>46</v>
      </c>
      <c r="B3" s="311"/>
      <c r="C3" s="311"/>
      <c r="D3" s="311"/>
      <c r="E3" s="311"/>
      <c r="F3" s="311"/>
      <c r="G3" s="311"/>
      <c r="H3" s="311"/>
      <c r="I3" s="311"/>
      <c r="J3" s="311"/>
      <c r="K3" s="311"/>
      <c r="L3" s="311"/>
      <c r="M3" s="311"/>
    </row>
    <row r="4" spans="1:14" ht="14" customHeight="1">
      <c r="A4" s="323"/>
      <c r="B4" s="323"/>
      <c r="C4" s="323"/>
      <c r="D4" s="323"/>
      <c r="E4" s="323"/>
      <c r="F4" s="323"/>
      <c r="G4" s="323"/>
      <c r="H4" s="323"/>
      <c r="I4" s="323"/>
      <c r="J4" s="323"/>
      <c r="K4" s="323"/>
      <c r="L4" s="323"/>
      <c r="M4" s="323"/>
    </row>
    <row r="5" spans="1:14" ht="23" customHeight="1">
      <c r="A5" s="50" t="s">
        <v>933</v>
      </c>
      <c r="B5" s="50" t="s">
        <v>933</v>
      </c>
      <c r="C5" s="50" t="s">
        <v>933</v>
      </c>
      <c r="D5" s="84" t="s">
        <v>933</v>
      </c>
      <c r="E5" s="97" t="s">
        <v>891</v>
      </c>
      <c r="F5" s="349" t="s">
        <v>948</v>
      </c>
      <c r="G5" s="349"/>
      <c r="H5" s="349"/>
      <c r="I5" s="349"/>
      <c r="J5" s="349"/>
      <c r="K5" s="49" t="s">
        <v>891</v>
      </c>
      <c r="L5" s="49" t="s">
        <v>1002</v>
      </c>
      <c r="M5" s="49" t="s">
        <v>1002</v>
      </c>
      <c r="N5" s="1"/>
    </row>
    <row r="6" spans="1:14" ht="100" customHeight="1">
      <c r="A6" s="5" t="s">
        <v>332</v>
      </c>
      <c r="B6" s="28" t="s">
        <v>1003</v>
      </c>
      <c r="C6" s="28" t="s">
        <v>1004</v>
      </c>
      <c r="D6" s="28" t="s">
        <v>1005</v>
      </c>
      <c r="E6" s="28" t="s">
        <v>1006</v>
      </c>
      <c r="F6" s="94" t="s">
        <v>1007</v>
      </c>
      <c r="G6" s="94" t="s">
        <v>1008</v>
      </c>
      <c r="H6" s="94" t="s">
        <v>1009</v>
      </c>
      <c r="I6" s="94" t="s">
        <v>1010</v>
      </c>
      <c r="J6" s="94" t="s">
        <v>1011</v>
      </c>
      <c r="K6" s="28" t="s">
        <v>1012</v>
      </c>
      <c r="L6" s="28" t="s">
        <v>1013</v>
      </c>
      <c r="M6" s="92" t="s">
        <v>1014</v>
      </c>
      <c r="N6" s="1"/>
    </row>
    <row r="7" spans="1:14" ht="17">
      <c r="A7" s="33" t="s">
        <v>1015</v>
      </c>
      <c r="B7" s="143">
        <v>115</v>
      </c>
      <c r="C7" s="143">
        <v>343</v>
      </c>
      <c r="D7" s="143">
        <v>-60</v>
      </c>
      <c r="E7" s="143">
        <v>3823</v>
      </c>
      <c r="F7" s="143">
        <v>4</v>
      </c>
      <c r="G7" s="143">
        <v>0</v>
      </c>
      <c r="H7" s="143">
        <v>0</v>
      </c>
      <c r="I7" s="143">
        <v>24</v>
      </c>
      <c r="J7" s="143">
        <v>-5</v>
      </c>
      <c r="K7" s="143">
        <v>4244</v>
      </c>
      <c r="L7" s="143">
        <v>1</v>
      </c>
      <c r="M7" s="143">
        <v>4245</v>
      </c>
      <c r="N7" s="1"/>
    </row>
    <row r="8" spans="1:14" ht="17">
      <c r="A8" s="16" t="s">
        <v>1016</v>
      </c>
      <c r="B8" s="77">
        <v>0</v>
      </c>
      <c r="C8" s="77">
        <v>0</v>
      </c>
      <c r="D8" s="77">
        <v>0</v>
      </c>
      <c r="E8" s="77">
        <v>-61</v>
      </c>
      <c r="F8" s="77">
        <v>0</v>
      </c>
      <c r="G8" s="77">
        <v>0</v>
      </c>
      <c r="H8" s="77">
        <v>0</v>
      </c>
      <c r="I8" s="77">
        <v>0</v>
      </c>
      <c r="J8" s="77">
        <v>0</v>
      </c>
      <c r="K8" s="77">
        <v>-61</v>
      </c>
      <c r="L8" s="77">
        <v>0</v>
      </c>
      <c r="M8" s="77">
        <v>-61</v>
      </c>
      <c r="N8" s="1"/>
    </row>
    <row r="9" spans="1:14" ht="34">
      <c r="A9" s="16" t="s">
        <v>1017</v>
      </c>
      <c r="B9" s="77">
        <v>0</v>
      </c>
      <c r="C9" s="77">
        <v>0</v>
      </c>
      <c r="D9" s="77">
        <v>0</v>
      </c>
      <c r="E9" s="77">
        <v>392</v>
      </c>
      <c r="F9" s="77">
        <v>7</v>
      </c>
      <c r="G9" s="77">
        <v>0</v>
      </c>
      <c r="H9" s="77">
        <v>0</v>
      </c>
      <c r="I9" s="77">
        <v>-26</v>
      </c>
      <c r="J9" s="77">
        <v>-1</v>
      </c>
      <c r="K9" s="77">
        <v>372</v>
      </c>
      <c r="L9" s="77">
        <v>0</v>
      </c>
      <c r="M9" s="77">
        <v>372</v>
      </c>
      <c r="N9" s="1"/>
    </row>
    <row r="10" spans="1:14" ht="34">
      <c r="A10" s="109" t="s">
        <v>1018</v>
      </c>
      <c r="B10" s="77">
        <v>0</v>
      </c>
      <c r="C10" s="77">
        <v>0</v>
      </c>
      <c r="D10" s="77">
        <v>0</v>
      </c>
      <c r="E10" s="77">
        <v>416</v>
      </c>
      <c r="F10" s="77">
        <v>0</v>
      </c>
      <c r="G10" s="77">
        <v>0</v>
      </c>
      <c r="H10" s="77">
        <v>0</v>
      </c>
      <c r="I10" s="77">
        <v>0</v>
      </c>
      <c r="J10" s="77">
        <v>0</v>
      </c>
      <c r="K10" s="77">
        <v>416</v>
      </c>
      <c r="L10" s="77">
        <v>0</v>
      </c>
      <c r="M10" s="77">
        <v>416</v>
      </c>
      <c r="N10" s="1"/>
    </row>
    <row r="11" spans="1:14" ht="34">
      <c r="A11" s="109" t="s">
        <v>1019</v>
      </c>
      <c r="B11" s="77">
        <v>0</v>
      </c>
      <c r="C11" s="77">
        <v>0</v>
      </c>
      <c r="D11" s="77">
        <v>0</v>
      </c>
      <c r="E11" s="77">
        <v>-24</v>
      </c>
      <c r="F11" s="77">
        <v>7</v>
      </c>
      <c r="G11" s="77">
        <v>0</v>
      </c>
      <c r="H11" s="77">
        <v>0</v>
      </c>
      <c r="I11" s="77">
        <v>-26</v>
      </c>
      <c r="J11" s="77">
        <v>-1</v>
      </c>
      <c r="K11" s="77">
        <v>-44</v>
      </c>
      <c r="L11" s="77">
        <v>0</v>
      </c>
      <c r="M11" s="77">
        <v>-44</v>
      </c>
      <c r="N11" s="1"/>
    </row>
    <row r="12" spans="1:14" ht="17">
      <c r="A12" s="79" t="s">
        <v>1020</v>
      </c>
      <c r="B12" s="136">
        <v>115</v>
      </c>
      <c r="C12" s="136">
        <v>343</v>
      </c>
      <c r="D12" s="136">
        <v>-60</v>
      </c>
      <c r="E12" s="136">
        <v>4154</v>
      </c>
      <c r="F12" s="136">
        <v>11</v>
      </c>
      <c r="G12" s="136">
        <v>0</v>
      </c>
      <c r="H12" s="136">
        <v>0</v>
      </c>
      <c r="I12" s="136">
        <v>-2</v>
      </c>
      <c r="J12" s="136">
        <v>-5</v>
      </c>
      <c r="K12" s="136">
        <v>4555</v>
      </c>
      <c r="L12" s="136">
        <v>1</v>
      </c>
      <c r="M12" s="136">
        <v>4556</v>
      </c>
      <c r="N12" s="1"/>
    </row>
    <row r="13" spans="1:14" ht="17">
      <c r="A13" s="79" t="s">
        <v>1021</v>
      </c>
      <c r="B13" s="136">
        <v>115</v>
      </c>
      <c r="C13" s="136">
        <v>343</v>
      </c>
      <c r="D13" s="136">
        <v>-60</v>
      </c>
      <c r="E13" s="136">
        <v>4154</v>
      </c>
      <c r="F13" s="136">
        <v>11</v>
      </c>
      <c r="G13" s="136">
        <v>0</v>
      </c>
      <c r="H13" s="136">
        <v>0</v>
      </c>
      <c r="I13" s="136">
        <v>-2</v>
      </c>
      <c r="J13" s="136">
        <v>-5</v>
      </c>
      <c r="K13" s="136">
        <v>4555</v>
      </c>
      <c r="L13" s="136">
        <v>1</v>
      </c>
      <c r="M13" s="136">
        <v>4556</v>
      </c>
      <c r="N13" s="1"/>
    </row>
    <row r="14" spans="1:14" ht="17">
      <c r="A14" s="16" t="s">
        <v>1016</v>
      </c>
      <c r="B14" s="77">
        <v>0</v>
      </c>
      <c r="C14" s="77">
        <v>0</v>
      </c>
      <c r="D14" s="77">
        <v>0</v>
      </c>
      <c r="E14" s="77">
        <v>-65</v>
      </c>
      <c r="F14" s="77">
        <v>0</v>
      </c>
      <c r="G14" s="77">
        <v>0</v>
      </c>
      <c r="H14" s="77">
        <v>0</v>
      </c>
      <c r="I14" s="77">
        <v>0</v>
      </c>
      <c r="J14" s="77">
        <v>0</v>
      </c>
      <c r="K14" s="77">
        <v>-65</v>
      </c>
      <c r="L14" s="77">
        <v>0</v>
      </c>
      <c r="M14" s="77">
        <v>-66</v>
      </c>
      <c r="N14" s="1"/>
    </row>
    <row r="15" spans="1:14" ht="34">
      <c r="A15" s="16" t="s">
        <v>1022</v>
      </c>
      <c r="B15" s="77">
        <v>0</v>
      </c>
      <c r="C15" s="77">
        <v>0</v>
      </c>
      <c r="D15" s="77">
        <v>0</v>
      </c>
      <c r="E15" s="77">
        <v>545</v>
      </c>
      <c r="F15" s="77">
        <v>2</v>
      </c>
      <c r="G15" s="77">
        <v>0</v>
      </c>
      <c r="H15" s="77">
        <v>0</v>
      </c>
      <c r="I15" s="77">
        <v>-24</v>
      </c>
      <c r="J15" s="77">
        <v>1</v>
      </c>
      <c r="K15" s="77">
        <v>524</v>
      </c>
      <c r="L15" s="77">
        <v>0</v>
      </c>
      <c r="M15" s="77">
        <v>524</v>
      </c>
      <c r="N15" s="1"/>
    </row>
    <row r="16" spans="1:14" ht="34">
      <c r="A16" s="109" t="s">
        <v>1018</v>
      </c>
      <c r="B16" s="77">
        <v>0</v>
      </c>
      <c r="C16" s="77">
        <v>0</v>
      </c>
      <c r="D16" s="77">
        <v>0</v>
      </c>
      <c r="E16" s="77">
        <v>539</v>
      </c>
      <c r="F16" s="77">
        <v>0</v>
      </c>
      <c r="G16" s="77">
        <v>0</v>
      </c>
      <c r="H16" s="77">
        <v>0</v>
      </c>
      <c r="I16" s="77">
        <v>0</v>
      </c>
      <c r="J16" s="77">
        <v>0</v>
      </c>
      <c r="K16" s="77">
        <v>539</v>
      </c>
      <c r="L16" s="77">
        <v>0</v>
      </c>
      <c r="M16" s="77">
        <v>539</v>
      </c>
      <c r="N16" s="1"/>
    </row>
    <row r="17" spans="1:14" ht="34">
      <c r="A17" s="109" t="s">
        <v>1019</v>
      </c>
      <c r="B17" s="77">
        <v>0</v>
      </c>
      <c r="C17" s="77">
        <v>0</v>
      </c>
      <c r="D17" s="77">
        <v>0</v>
      </c>
      <c r="E17" s="77">
        <v>6</v>
      </c>
      <c r="F17" s="77">
        <v>2</v>
      </c>
      <c r="G17" s="77">
        <v>0</v>
      </c>
      <c r="H17" s="77">
        <v>0</v>
      </c>
      <c r="I17" s="77">
        <v>-24</v>
      </c>
      <c r="J17" s="77">
        <v>1</v>
      </c>
      <c r="K17" s="77">
        <v>-15</v>
      </c>
      <c r="L17" s="77">
        <v>0</v>
      </c>
      <c r="M17" s="77">
        <v>-15</v>
      </c>
      <c r="N17" s="1"/>
    </row>
    <row r="18" spans="1:14" ht="17">
      <c r="A18" s="218" t="s">
        <v>1023</v>
      </c>
      <c r="B18" s="219">
        <v>115</v>
      </c>
      <c r="C18" s="219">
        <v>343</v>
      </c>
      <c r="D18" s="219">
        <v>-60</v>
      </c>
      <c r="E18" s="219">
        <v>4633</v>
      </c>
      <c r="F18" s="219">
        <v>13</v>
      </c>
      <c r="G18" s="219">
        <v>0</v>
      </c>
      <c r="H18" s="219">
        <v>0</v>
      </c>
      <c r="I18" s="219">
        <v>-26</v>
      </c>
      <c r="J18" s="219">
        <v>-5</v>
      </c>
      <c r="K18" s="219">
        <v>5013</v>
      </c>
      <c r="L18" s="219">
        <v>1</v>
      </c>
      <c r="M18" s="219">
        <v>5015</v>
      </c>
      <c r="N18" s="1"/>
    </row>
    <row r="19" spans="1:14" ht="16">
      <c r="A19" s="395"/>
      <c r="B19" s="395"/>
      <c r="C19" s="395"/>
      <c r="D19" s="395"/>
      <c r="E19" s="395"/>
      <c r="F19" s="395"/>
      <c r="G19" s="395"/>
      <c r="H19" s="395"/>
      <c r="I19" s="395"/>
      <c r="J19" s="395"/>
      <c r="K19" s="395"/>
      <c r="L19" s="395"/>
      <c r="M19" s="220"/>
    </row>
    <row r="20" spans="1:14">
      <c r="A20" s="1"/>
    </row>
  </sheetData>
  <mergeCells count="5">
    <mergeCell ref="F5:J5"/>
    <mergeCell ref="A3:M3"/>
    <mergeCell ref="A2:M2"/>
    <mergeCell ref="A19:L19"/>
    <mergeCell ref="A4:M4"/>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C10"/>
  <sheetViews>
    <sheetView showRuler="0" workbookViewId="0">
      <selection activeCell="A2" sqref="A2:B2"/>
    </sheetView>
  </sheetViews>
  <sheetFormatPr baseColWidth="10" defaultColWidth="12.83203125" defaultRowHeight="13"/>
  <cols>
    <col min="1" max="1" width="28.6640625" customWidth="1"/>
    <col min="2" max="2" width="71.1640625" customWidth="1"/>
  </cols>
  <sheetData>
    <row r="1" spans="1:3" ht="14">
      <c r="A1" s="238" t="str">
        <f>HYPERLINK("#'Index'!A1","Back to index")</f>
        <v>Back to index</v>
      </c>
    </row>
    <row r="2" spans="1:3" ht="25" customHeight="1">
      <c r="A2" s="310" t="s">
        <v>49</v>
      </c>
      <c r="B2" s="311"/>
    </row>
    <row r="3" spans="1:3" ht="22.5" customHeight="1">
      <c r="A3" s="312" t="s">
        <v>47</v>
      </c>
      <c r="B3" s="311"/>
      <c r="C3" s="27"/>
    </row>
    <row r="4" spans="1:3" ht="14" thickBot="1">
      <c r="A4" s="379"/>
      <c r="B4" s="379"/>
    </row>
    <row r="5" spans="1:3" ht="17">
      <c r="A5" s="14" t="s">
        <v>1024</v>
      </c>
      <c r="B5" s="14" t="s">
        <v>1025</v>
      </c>
    </row>
    <row r="6" spans="1:3" ht="17">
      <c r="A6" s="16" t="s">
        <v>1026</v>
      </c>
      <c r="B6" s="16" t="s">
        <v>1027</v>
      </c>
    </row>
    <row r="7" spans="1:3" ht="17">
      <c r="A7" s="16" t="s">
        <v>1028</v>
      </c>
      <c r="B7" s="16" t="s">
        <v>1029</v>
      </c>
    </row>
    <row r="8" spans="1:3" ht="17">
      <c r="A8" s="16" t="s">
        <v>1030</v>
      </c>
      <c r="B8" s="16" t="s">
        <v>1031</v>
      </c>
    </row>
    <row r="9" spans="1:3" ht="17">
      <c r="A9" s="21" t="s">
        <v>1032</v>
      </c>
      <c r="B9" s="21" t="s">
        <v>1033</v>
      </c>
    </row>
    <row r="10" spans="1:3">
      <c r="A10" s="44"/>
      <c r="B10" s="44"/>
    </row>
  </sheetData>
  <mergeCells count="3">
    <mergeCell ref="A2:B2"/>
    <mergeCell ref="A3:B3"/>
    <mergeCell ref="A4:B4"/>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G28"/>
  <sheetViews>
    <sheetView showRuler="0" workbookViewId="0"/>
  </sheetViews>
  <sheetFormatPr baseColWidth="10" defaultColWidth="12.83203125" defaultRowHeight="13"/>
  <cols>
    <col min="1" max="1" width="56.5" customWidth="1"/>
    <col min="2" max="2" width="7.5" customWidth="1"/>
    <col min="3" max="7" width="16.83203125" customWidth="1"/>
  </cols>
  <sheetData>
    <row r="1" spans="1:7" ht="14">
      <c r="A1" s="238" t="str">
        <f>HYPERLINK("#'Index'!A1","Back to index")</f>
        <v>Back to index</v>
      </c>
    </row>
    <row r="2" spans="1:7" ht="26" customHeight="1">
      <c r="A2" s="310" t="s">
        <v>49</v>
      </c>
      <c r="B2" s="311"/>
      <c r="C2" s="311"/>
      <c r="D2" s="311"/>
      <c r="E2" s="311"/>
      <c r="F2" s="311"/>
      <c r="G2" s="311"/>
    </row>
    <row r="3" spans="1:7" ht="22.5" customHeight="1">
      <c r="A3" s="312" t="s">
        <v>48</v>
      </c>
      <c r="B3" s="311"/>
      <c r="C3" s="311"/>
      <c r="D3" s="311"/>
      <c r="E3" s="311"/>
      <c r="F3" s="311"/>
      <c r="G3" s="311"/>
    </row>
    <row r="4" spans="1:7" ht="13" customHeight="1">
      <c r="A4" s="311"/>
      <c r="B4" s="311"/>
      <c r="C4" s="311"/>
      <c r="D4" s="311"/>
      <c r="E4" s="311"/>
      <c r="F4" s="311"/>
      <c r="G4" s="311"/>
    </row>
    <row r="5" spans="1:7" ht="17">
      <c r="A5" s="99" t="s">
        <v>1034</v>
      </c>
      <c r="C5" s="29" t="s">
        <v>50</v>
      </c>
      <c r="D5" s="28" t="s">
        <v>247</v>
      </c>
      <c r="E5" s="28" t="s">
        <v>324</v>
      </c>
      <c r="F5" s="28" t="s">
        <v>325</v>
      </c>
      <c r="G5" s="28" t="s">
        <v>326</v>
      </c>
    </row>
    <row r="6" spans="1:7" ht="17">
      <c r="A6" s="14" t="s">
        <v>506</v>
      </c>
      <c r="B6" s="76" t="s">
        <v>1035</v>
      </c>
      <c r="C6" s="53">
        <v>18171</v>
      </c>
      <c r="D6" s="75">
        <v>17138</v>
      </c>
      <c r="E6" s="75">
        <v>17064</v>
      </c>
      <c r="F6" s="75">
        <v>18521</v>
      </c>
      <c r="G6" s="75">
        <v>16300</v>
      </c>
    </row>
    <row r="7" spans="1:7" ht="17">
      <c r="A7" s="16" t="s">
        <v>1036</v>
      </c>
      <c r="B7" s="78" t="s">
        <v>1035</v>
      </c>
      <c r="C7" s="55">
        <v>965</v>
      </c>
      <c r="D7" s="77">
        <v>731</v>
      </c>
      <c r="E7" s="77">
        <v>379</v>
      </c>
      <c r="F7" s="77">
        <v>1148</v>
      </c>
      <c r="G7" s="77">
        <v>1049</v>
      </c>
    </row>
    <row r="8" spans="1:7" ht="17">
      <c r="A8" s="16" t="s">
        <v>587</v>
      </c>
      <c r="B8" s="78" t="s">
        <v>1035</v>
      </c>
      <c r="C8" s="55">
        <v>589</v>
      </c>
      <c r="D8" s="77">
        <v>622</v>
      </c>
      <c r="E8" s="77">
        <v>557</v>
      </c>
      <c r="F8" s="77">
        <v>753</v>
      </c>
      <c r="G8" s="77">
        <v>593</v>
      </c>
    </row>
    <row r="9" spans="1:7" ht="17">
      <c r="A9" s="16" t="s">
        <v>1037</v>
      </c>
      <c r="B9" s="78" t="s">
        <v>1035</v>
      </c>
      <c r="C9" s="55">
        <v>731</v>
      </c>
      <c r="D9" s="77">
        <v>519</v>
      </c>
      <c r="E9" s="77">
        <v>160</v>
      </c>
      <c r="F9" s="77">
        <v>928</v>
      </c>
      <c r="G9" s="77">
        <v>830</v>
      </c>
    </row>
    <row r="10" spans="1:7" ht="17">
      <c r="A10" s="16" t="s">
        <v>589</v>
      </c>
      <c r="B10" s="78" t="s">
        <v>1035</v>
      </c>
      <c r="C10" s="55">
        <v>358</v>
      </c>
      <c r="D10" s="77">
        <v>411</v>
      </c>
      <c r="E10" s="77">
        <v>342</v>
      </c>
      <c r="F10" s="77">
        <v>533</v>
      </c>
      <c r="G10" s="77">
        <v>394</v>
      </c>
    </row>
    <row r="11" spans="1:7" ht="17">
      <c r="A11" s="16" t="s">
        <v>1038</v>
      </c>
      <c r="B11" s="78" t="s">
        <v>1035</v>
      </c>
      <c r="C11" s="55">
        <v>727</v>
      </c>
      <c r="D11" s="77">
        <v>523</v>
      </c>
      <c r="E11" s="77">
        <v>165</v>
      </c>
      <c r="F11" s="77">
        <v>935</v>
      </c>
      <c r="G11" s="77">
        <v>825</v>
      </c>
    </row>
    <row r="12" spans="1:7" ht="17">
      <c r="A12" s="16" t="s">
        <v>1039</v>
      </c>
      <c r="B12" s="78" t="s">
        <v>1035</v>
      </c>
      <c r="C12" s="55">
        <v>355</v>
      </c>
      <c r="D12" s="77">
        <v>413</v>
      </c>
      <c r="E12" s="77">
        <v>349</v>
      </c>
      <c r="F12" s="77">
        <v>532</v>
      </c>
      <c r="G12" s="77">
        <v>381</v>
      </c>
    </row>
    <row r="13" spans="1:7" ht="17">
      <c r="A13" s="16" t="s">
        <v>522</v>
      </c>
      <c r="B13" s="78" t="s">
        <v>1035</v>
      </c>
      <c r="C13" s="55">
        <v>539</v>
      </c>
      <c r="D13" s="77">
        <v>416</v>
      </c>
      <c r="E13" s="77">
        <v>141</v>
      </c>
      <c r="F13" s="77">
        <v>715</v>
      </c>
      <c r="G13" s="77">
        <v>613</v>
      </c>
    </row>
    <row r="14" spans="1:7" ht="17">
      <c r="A14" s="16" t="s">
        <v>1040</v>
      </c>
      <c r="B14" s="78" t="s">
        <v>1035</v>
      </c>
      <c r="C14" s="55">
        <v>261</v>
      </c>
      <c r="D14" s="77">
        <v>335</v>
      </c>
      <c r="E14" s="77">
        <v>268</v>
      </c>
      <c r="F14" s="77">
        <v>433</v>
      </c>
      <c r="G14" s="77">
        <v>284</v>
      </c>
    </row>
    <row r="15" spans="1:7" ht="17">
      <c r="A15" s="16" t="s">
        <v>1041</v>
      </c>
      <c r="B15" s="78" t="s">
        <v>1035</v>
      </c>
      <c r="C15" s="55">
        <v>677</v>
      </c>
      <c r="D15" s="77">
        <v>537</v>
      </c>
      <c r="E15" s="77">
        <v>573</v>
      </c>
      <c r="F15" s="77">
        <v>295</v>
      </c>
      <c r="G15" s="77">
        <v>812</v>
      </c>
    </row>
    <row r="16" spans="1:7" ht="17">
      <c r="A16" s="16" t="s">
        <v>590</v>
      </c>
      <c r="B16" s="78" t="s">
        <v>1035</v>
      </c>
      <c r="C16" s="55">
        <v>771</v>
      </c>
      <c r="D16" s="77">
        <v>859</v>
      </c>
      <c r="E16" s="77">
        <v>633</v>
      </c>
      <c r="F16" s="77">
        <v>362</v>
      </c>
      <c r="G16" s="77">
        <v>256</v>
      </c>
    </row>
    <row r="17" spans="1:7" ht="17">
      <c r="A17" s="16" t="s">
        <v>1042</v>
      </c>
      <c r="B17" s="78" t="s">
        <v>646</v>
      </c>
      <c r="C17" s="231" t="s">
        <v>1193</v>
      </c>
      <c r="D17" s="232" t="s">
        <v>1194</v>
      </c>
      <c r="E17" s="232" t="s">
        <v>1195</v>
      </c>
      <c r="F17" s="232" t="s">
        <v>1196</v>
      </c>
      <c r="G17" s="232" t="s">
        <v>1197</v>
      </c>
    </row>
    <row r="18" spans="1:7" ht="17">
      <c r="A18" s="79" t="s">
        <v>1043</v>
      </c>
      <c r="B18" s="107"/>
      <c r="C18" s="38"/>
      <c r="D18" s="78"/>
      <c r="E18" s="78"/>
      <c r="F18" s="78"/>
      <c r="G18" s="78"/>
    </row>
    <row r="19" spans="1:7" ht="17">
      <c r="A19" s="16" t="s">
        <v>941</v>
      </c>
      <c r="B19" s="78" t="s">
        <v>1035</v>
      </c>
      <c r="C19" s="55">
        <v>8838</v>
      </c>
      <c r="D19" s="77">
        <v>7845</v>
      </c>
      <c r="E19" s="77">
        <v>7260</v>
      </c>
      <c r="F19" s="77">
        <v>7447</v>
      </c>
      <c r="G19" s="77">
        <v>6613</v>
      </c>
    </row>
    <row r="20" spans="1:7" ht="17">
      <c r="A20" s="16" t="s">
        <v>537</v>
      </c>
      <c r="B20" s="78" t="s">
        <v>1035</v>
      </c>
      <c r="C20" s="55">
        <v>3527</v>
      </c>
      <c r="D20" s="77">
        <v>3051</v>
      </c>
      <c r="E20" s="77">
        <v>2470</v>
      </c>
      <c r="F20" s="77">
        <v>2069</v>
      </c>
      <c r="G20" s="77">
        <v>1958</v>
      </c>
    </row>
    <row r="21" spans="1:7" ht="17">
      <c r="A21" s="16" t="s">
        <v>588</v>
      </c>
      <c r="B21" s="78" t="s">
        <v>1035</v>
      </c>
      <c r="C21" s="55">
        <v>233</v>
      </c>
      <c r="D21" s="77">
        <v>212</v>
      </c>
      <c r="E21" s="77">
        <v>219</v>
      </c>
      <c r="F21" s="77">
        <v>220</v>
      </c>
      <c r="G21" s="77">
        <v>219</v>
      </c>
    </row>
    <row r="22" spans="1:7" ht="17">
      <c r="A22" s="16" t="s">
        <v>541</v>
      </c>
      <c r="B22" s="78" t="s">
        <v>1035</v>
      </c>
      <c r="C22" s="55">
        <v>5015</v>
      </c>
      <c r="D22" s="77">
        <v>4556</v>
      </c>
      <c r="E22" s="77">
        <v>4245</v>
      </c>
      <c r="F22" s="77">
        <v>4258</v>
      </c>
      <c r="G22" s="77">
        <v>3443</v>
      </c>
    </row>
    <row r="23" spans="1:7" ht="17">
      <c r="A23" s="221" t="s">
        <v>1044</v>
      </c>
      <c r="B23" s="222"/>
      <c r="C23" s="223"/>
      <c r="D23" s="224"/>
      <c r="E23" s="224"/>
      <c r="F23" s="224"/>
      <c r="G23" s="224"/>
    </row>
    <row r="24" spans="1:7" ht="17">
      <c r="A24" s="16" t="s">
        <v>1045</v>
      </c>
      <c r="B24" s="78" t="s">
        <v>1035</v>
      </c>
      <c r="C24" s="231" t="s">
        <v>1198</v>
      </c>
      <c r="D24" s="77">
        <v>2960</v>
      </c>
      <c r="E24" s="77">
        <v>3153</v>
      </c>
      <c r="F24" s="77">
        <v>2427</v>
      </c>
      <c r="G24" s="77">
        <v>2939</v>
      </c>
    </row>
    <row r="25" spans="1:7" ht="17">
      <c r="A25" s="16" t="s">
        <v>1046</v>
      </c>
      <c r="B25" s="78" t="s">
        <v>1047</v>
      </c>
      <c r="C25" s="212">
        <v>12.34</v>
      </c>
      <c r="D25" s="213">
        <v>9.5299999999999994</v>
      </c>
      <c r="E25" s="213">
        <v>3.23</v>
      </c>
      <c r="F25" s="213">
        <v>16.37</v>
      </c>
      <c r="G25" s="213">
        <v>14.03</v>
      </c>
    </row>
    <row r="26" spans="1:7" ht="17">
      <c r="A26" s="16" t="s">
        <v>1048</v>
      </c>
      <c r="B26" s="78" t="s">
        <v>1047</v>
      </c>
      <c r="C26" s="212">
        <v>5.97</v>
      </c>
      <c r="D26" s="213">
        <v>7.66</v>
      </c>
      <c r="E26" s="213">
        <v>6.13</v>
      </c>
      <c r="F26" s="213">
        <v>9.91</v>
      </c>
      <c r="G26" s="213">
        <v>6.51</v>
      </c>
    </row>
    <row r="27" spans="1:7" ht="17">
      <c r="A27" s="21" t="s">
        <v>1049</v>
      </c>
      <c r="B27" s="51" t="s">
        <v>1047</v>
      </c>
      <c r="C27" s="214">
        <v>1.6</v>
      </c>
      <c r="D27" s="215">
        <v>1.5</v>
      </c>
      <c r="E27" s="215">
        <v>1.4</v>
      </c>
      <c r="F27" s="215">
        <v>1.8</v>
      </c>
      <c r="G27" s="215">
        <v>1.6</v>
      </c>
    </row>
    <row r="28" spans="1:7" ht="29.25" customHeight="1">
      <c r="A28" s="350" t="s">
        <v>1050</v>
      </c>
      <c r="B28" s="350"/>
      <c r="C28" s="350"/>
      <c r="D28" s="350"/>
      <c r="E28" s="350"/>
      <c r="F28" s="350"/>
      <c r="G28" s="350"/>
    </row>
  </sheetData>
  <mergeCells count="4">
    <mergeCell ref="A2:G2"/>
    <mergeCell ref="A3:G3"/>
    <mergeCell ref="A4:G4"/>
    <mergeCell ref="A28:G2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0"/>
  <sheetViews>
    <sheetView showRuler="0" workbookViewId="0">
      <selection activeCell="A2" sqref="A2:E2"/>
    </sheetView>
  </sheetViews>
  <sheetFormatPr baseColWidth="10" defaultColWidth="12.83203125" defaultRowHeight="13"/>
  <cols>
    <col min="1" max="1" width="20.5" customWidth="1"/>
    <col min="2" max="2" width="51.5" customWidth="1"/>
    <col min="3" max="3" width="0" hidden="1" customWidth="1"/>
    <col min="4" max="4" width="18.1640625" customWidth="1"/>
    <col min="5" max="5" width="16" customWidth="1"/>
  </cols>
  <sheetData>
    <row r="1" spans="1:5" ht="14">
      <c r="A1" s="239" t="str">
        <f>HYPERLINK("#'Index'!A1","Back to index")</f>
        <v>Back to index</v>
      </c>
    </row>
    <row r="2" spans="1:5" ht="25" customHeight="1">
      <c r="A2" s="310" t="s">
        <v>49</v>
      </c>
      <c r="B2" s="310"/>
      <c r="C2" s="310"/>
      <c r="D2" s="310"/>
      <c r="E2" s="310"/>
    </row>
    <row r="3" spans="1:5" ht="22.5" customHeight="1">
      <c r="A3" s="312" t="s">
        <v>213</v>
      </c>
      <c r="B3" s="312"/>
      <c r="C3" s="312"/>
      <c r="D3" s="312"/>
      <c r="E3" s="312"/>
    </row>
    <row r="4" spans="1:5">
      <c r="A4" s="323"/>
      <c r="B4" s="323"/>
      <c r="C4" s="323"/>
      <c r="D4" s="323"/>
      <c r="E4" s="323"/>
    </row>
    <row r="5" spans="1:5" ht="34">
      <c r="A5" s="5" t="s">
        <v>204</v>
      </c>
      <c r="B5" s="5" t="s">
        <v>205</v>
      </c>
      <c r="D5" s="29" t="s">
        <v>206</v>
      </c>
      <c r="E5" s="29" t="s">
        <v>241</v>
      </c>
    </row>
    <row r="6" spans="1:5" ht="16">
      <c r="A6" s="333" t="s">
        <v>214</v>
      </c>
      <c r="B6" s="333"/>
      <c r="C6" s="45"/>
      <c r="D6" s="34"/>
      <c r="E6" s="255">
        <v>0</v>
      </c>
    </row>
    <row r="7" spans="1:5" ht="53" customHeight="1">
      <c r="A7" s="7" t="s">
        <v>208</v>
      </c>
      <c r="B7" s="16" t="s">
        <v>1102</v>
      </c>
      <c r="C7" s="46"/>
      <c r="D7" s="337" t="s">
        <v>215</v>
      </c>
      <c r="E7" s="337"/>
    </row>
    <row r="8" spans="1:5" ht="148" customHeight="1">
      <c r="A8" s="7" t="s">
        <v>57</v>
      </c>
      <c r="B8" s="16" t="s">
        <v>1103</v>
      </c>
      <c r="C8" s="47"/>
      <c r="D8" s="338"/>
      <c r="E8" s="338"/>
    </row>
    <row r="9" spans="1:5" ht="50" customHeight="1">
      <c r="A9" s="40" t="s">
        <v>210</v>
      </c>
      <c r="B9" s="21" t="s">
        <v>1104</v>
      </c>
      <c r="C9" s="48"/>
      <c r="D9" s="339"/>
      <c r="E9" s="339"/>
    </row>
    <row r="10" spans="1:5">
      <c r="A10" s="44"/>
      <c r="B10" s="44"/>
      <c r="C10" s="44"/>
      <c r="D10" s="44"/>
      <c r="E10" s="44"/>
    </row>
  </sheetData>
  <mergeCells count="5">
    <mergeCell ref="A6:B6"/>
    <mergeCell ref="D7:E9"/>
    <mergeCell ref="A2:E2"/>
    <mergeCell ref="A3:E3"/>
    <mergeCell ref="A4:E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1"/>
  <sheetViews>
    <sheetView showRuler="0" workbookViewId="0">
      <selection activeCell="A2" sqref="A2:J2"/>
    </sheetView>
  </sheetViews>
  <sheetFormatPr baseColWidth="10" defaultColWidth="12.83203125" defaultRowHeight="13"/>
  <cols>
    <col min="1" max="1" width="42.83203125" customWidth="1"/>
    <col min="2" max="9" width="18.1640625" customWidth="1"/>
    <col min="10" max="10" width="23.6640625" customWidth="1"/>
  </cols>
  <sheetData>
    <row r="1" spans="1:10" ht="14">
      <c r="A1" s="239" t="str">
        <f>HYPERLINK("#'Index'!A1","Back to index")</f>
        <v>Back to index</v>
      </c>
    </row>
    <row r="2" spans="1:10" ht="25" customHeight="1">
      <c r="A2" s="310" t="s">
        <v>49</v>
      </c>
      <c r="B2" s="311"/>
      <c r="C2" s="311"/>
      <c r="D2" s="311"/>
      <c r="E2" s="311"/>
      <c r="F2" s="311"/>
      <c r="G2" s="311"/>
      <c r="H2" s="311"/>
      <c r="I2" s="311"/>
      <c r="J2" s="311"/>
    </row>
    <row r="3" spans="1:10" ht="22.5" customHeight="1">
      <c r="A3" s="312" t="s">
        <v>5</v>
      </c>
      <c r="B3" s="311"/>
      <c r="C3" s="311"/>
      <c r="D3" s="311"/>
      <c r="E3" s="311"/>
      <c r="F3" s="311"/>
      <c r="G3" s="311"/>
      <c r="H3" s="311"/>
      <c r="I3" s="311"/>
      <c r="J3" s="311"/>
    </row>
    <row r="4" spans="1:10">
      <c r="A4" s="323"/>
      <c r="B4" s="323"/>
      <c r="C4" s="323"/>
      <c r="D4" s="323"/>
      <c r="E4" s="323"/>
      <c r="F4" s="323"/>
      <c r="G4" s="323"/>
      <c r="H4" s="323"/>
      <c r="I4" s="323"/>
      <c r="J4" s="323"/>
    </row>
    <row r="5" spans="1:10" ht="17" thickBot="1">
      <c r="A5" s="343" t="s">
        <v>216</v>
      </c>
      <c r="B5" s="50"/>
      <c r="C5" s="348" t="s">
        <v>217</v>
      </c>
      <c r="D5" s="349"/>
      <c r="E5" s="348" t="s">
        <v>218</v>
      </c>
      <c r="F5" s="349"/>
      <c r="G5" s="348" t="s">
        <v>219</v>
      </c>
      <c r="H5" s="349"/>
      <c r="I5" s="5"/>
      <c r="J5" s="5"/>
    </row>
    <row r="6" spans="1:10" ht="56" customHeight="1" thickBot="1">
      <c r="A6" s="344"/>
      <c r="B6" s="28" t="s">
        <v>220</v>
      </c>
      <c r="C6" s="28" t="s">
        <v>221</v>
      </c>
      <c r="D6" s="29" t="s">
        <v>222</v>
      </c>
      <c r="E6" s="28" t="s">
        <v>221</v>
      </c>
      <c r="F6" s="29" t="s">
        <v>222</v>
      </c>
      <c r="G6" s="28" t="s">
        <v>221</v>
      </c>
      <c r="H6" s="29" t="s">
        <v>222</v>
      </c>
      <c r="I6" s="29" t="s">
        <v>223</v>
      </c>
      <c r="J6" s="29" t="s">
        <v>224</v>
      </c>
    </row>
    <row r="7" spans="1:10" ht="17">
      <c r="A7" s="14" t="s">
        <v>225</v>
      </c>
      <c r="B7" s="52">
        <v>440000</v>
      </c>
      <c r="C7" s="345">
        <v>0.7</v>
      </c>
      <c r="D7" s="340">
        <v>0.82200000000000006</v>
      </c>
      <c r="E7" s="345">
        <v>0.2</v>
      </c>
      <c r="F7" s="340">
        <v>1.25</v>
      </c>
      <c r="G7" s="345">
        <v>0.1</v>
      </c>
      <c r="H7" s="351">
        <v>0</v>
      </c>
      <c r="I7" s="340">
        <v>0.82500000000000007</v>
      </c>
      <c r="J7" s="53">
        <v>363090</v>
      </c>
    </row>
    <row r="8" spans="1:10" ht="17">
      <c r="A8" s="16" t="s">
        <v>226</v>
      </c>
      <c r="B8" s="54">
        <v>350000</v>
      </c>
      <c r="C8" s="346"/>
      <c r="D8" s="341"/>
      <c r="E8" s="346"/>
      <c r="F8" s="341"/>
      <c r="G8" s="346"/>
      <c r="H8" s="341"/>
      <c r="I8" s="341"/>
      <c r="J8" s="55">
        <v>288822</v>
      </c>
    </row>
    <row r="9" spans="1:10" ht="17">
      <c r="A9" s="16" t="s">
        <v>227</v>
      </c>
      <c r="B9" s="54">
        <v>350000</v>
      </c>
      <c r="C9" s="346"/>
      <c r="D9" s="341"/>
      <c r="E9" s="346"/>
      <c r="F9" s="341"/>
      <c r="G9" s="346"/>
      <c r="H9" s="341"/>
      <c r="I9" s="341"/>
      <c r="J9" s="55">
        <v>288822</v>
      </c>
    </row>
    <row r="10" spans="1:10" ht="17">
      <c r="A10" s="21" t="s">
        <v>228</v>
      </c>
      <c r="B10" s="56">
        <v>296000</v>
      </c>
      <c r="C10" s="347"/>
      <c r="D10" s="342"/>
      <c r="E10" s="347"/>
      <c r="F10" s="342"/>
      <c r="G10" s="347"/>
      <c r="H10" s="342"/>
      <c r="I10" s="342"/>
      <c r="J10" s="58">
        <v>244261</v>
      </c>
    </row>
    <row r="11" spans="1:10">
      <c r="A11" s="350"/>
      <c r="B11" s="350"/>
      <c r="C11" s="350"/>
      <c r="D11" s="350"/>
      <c r="E11" s="350"/>
      <c r="F11" s="350"/>
      <c r="G11" s="350"/>
      <c r="H11" s="350"/>
      <c r="I11" s="350"/>
      <c r="J11" s="350"/>
    </row>
  </sheetData>
  <mergeCells count="15">
    <mergeCell ref="A11:J11"/>
    <mergeCell ref="G7:G10"/>
    <mergeCell ref="H7:H10"/>
    <mergeCell ref="G5:H5"/>
    <mergeCell ref="A3:J3"/>
    <mergeCell ref="A2:J2"/>
    <mergeCell ref="I7:I10"/>
    <mergeCell ref="A5:A6"/>
    <mergeCell ref="C7:C10"/>
    <mergeCell ref="D7:D10"/>
    <mergeCell ref="C5:D5"/>
    <mergeCell ref="E5:F5"/>
    <mergeCell ref="E7:E10"/>
    <mergeCell ref="F7:F10"/>
    <mergeCell ref="A4:J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76</vt:i4>
      </vt:variant>
    </vt:vector>
  </HeadingPairs>
  <TitlesOfParts>
    <vt:vector size="76" baseType="lpstr">
      <vt:lpstr>Index</vt:lpstr>
      <vt:lpstr>Tab.01</vt:lpstr>
      <vt:lpstr>Tab.02</vt:lpstr>
      <vt:lpstr>Tab.03</vt:lpstr>
      <vt:lpstr>Tab.04</vt:lpstr>
      <vt:lpstr>Tab.05</vt:lpstr>
      <vt:lpstr>Tab.06</vt:lpstr>
      <vt:lpstr>Tab.07</vt:lpstr>
      <vt:lpstr>Tab.08</vt:lpstr>
      <vt:lpstr>Tab.09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Tab.44</vt:lpstr>
      <vt:lpstr>Tab.45</vt:lpstr>
      <vt:lpstr>Tab.46</vt:lpstr>
      <vt:lpstr>Tab.47</vt:lpstr>
      <vt:lpstr>Tab.48</vt:lpstr>
      <vt:lpstr>Tab.49</vt:lpstr>
      <vt:lpstr>Tab.50</vt:lpstr>
      <vt:lpstr>Tab.51</vt:lpstr>
      <vt:lpstr>Tab.52</vt:lpstr>
      <vt:lpstr>Tab.53</vt:lpstr>
      <vt:lpstr>Tab.54</vt:lpstr>
      <vt:lpstr>Tab.55</vt:lpstr>
      <vt:lpstr>Tab.56</vt:lpstr>
      <vt:lpstr>Tab.57</vt:lpstr>
      <vt:lpstr>Tab.58</vt:lpstr>
      <vt:lpstr>Tab.59</vt:lpstr>
      <vt:lpstr>Tab.60</vt:lpstr>
      <vt:lpstr>Tab.61</vt:lpstr>
      <vt:lpstr>Tab.62</vt:lpstr>
      <vt:lpstr>Tab.63</vt:lpstr>
      <vt:lpstr>Tab.64</vt:lpstr>
      <vt:lpstr>Tab.65</vt:lpstr>
      <vt:lpstr>Tab.66</vt:lpstr>
      <vt:lpstr>Tab.67</vt:lpstr>
      <vt:lpstr>Tab.68</vt:lpstr>
      <vt:lpstr>Tab.69</vt:lpstr>
      <vt:lpstr>Tab.70</vt:lpstr>
      <vt:lpstr>Tab.71</vt:lpstr>
      <vt:lpstr>Tab.72</vt:lpstr>
      <vt:lpstr>Tab.73</vt:lpstr>
      <vt:lpstr>Tab.74</vt:lpstr>
      <vt:lpstr>Tab.75</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Kirchhoff_FOP</cp:lastModifiedBy>
  <cp:revision>2</cp:revision>
  <dcterms:modified xsi:type="dcterms:W3CDTF">2025-12-03T14:06:27Z</dcterms:modified>
</cp:coreProperties>
</file>